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2240" activeTab="0"/>
  </bookViews>
  <sheets>
    <sheet name="Roadway Lighting Economics Calc" sheetId="1" r:id="rId1"/>
    <sheet name="Sheet2" sheetId="2" r:id="rId2"/>
    <sheet name="Sheet3" sheetId="3" r:id="rId3"/>
  </sheets>
  <definedNames>
    <definedName name="LeasingRatesandLEDPowerConsumption">'Roadway Lighting Economics Calc'!$F$4:$AM$13</definedName>
    <definedName name="_xlnm.Print_Area" localSheetId="0">'Roadway Lighting Economics Calc'!$AL$4:$AU$46</definedName>
    <definedName name="Table1">'Roadway Lighting Economics Calc'!$F$3:$AM$13</definedName>
  </definedNames>
  <calcPr fullCalcOnLoad="1"/>
</workbook>
</file>

<file path=xl/sharedStrings.xml><?xml version="1.0" encoding="utf-8"?>
<sst xmlns="http://schemas.openxmlformats.org/spreadsheetml/2006/main" count="341" uniqueCount="128">
  <si>
    <t>LED Luminaires Life Cycle Cost</t>
  </si>
  <si>
    <t>HID Luminaires Life Cycle Cost</t>
  </si>
  <si>
    <t>Net Present Worth</t>
  </si>
  <si>
    <t>Simple Payback Period (years)</t>
  </si>
  <si>
    <t>USPW</t>
  </si>
  <si>
    <t>Discount Rate</t>
  </si>
  <si>
    <t>SPP, NPW, and LCC:</t>
  </si>
  <si>
    <t>Initial Cost to Customer</t>
  </si>
  <si>
    <t>Annual Cost to Customer</t>
  </si>
  <si>
    <t>Rebate ($/kWh reduction/fixture)</t>
  </si>
  <si>
    <t>LCOS ($/kWh)</t>
  </si>
  <si>
    <r>
      <t xml:space="preserve">HID Rate 3 </t>
    </r>
    <r>
      <rPr>
        <u val="single"/>
        <sz val="11"/>
        <color indexed="8"/>
        <rFont val="Calibri"/>
        <family val="2"/>
      </rPr>
      <t>→ LED Rate3</t>
    </r>
  </si>
  <si>
    <t>Electricity Rate ($/kWh)</t>
  </si>
  <si>
    <t>Initial Cost</t>
  </si>
  <si>
    <t>Expected LED Lifetime (hours)</t>
  </si>
  <si>
    <t>Annual Operating Cost</t>
  </si>
  <si>
    <r>
      <t xml:space="preserve">HID Rate 2 </t>
    </r>
    <r>
      <rPr>
        <u val="single"/>
        <sz val="11"/>
        <color indexed="8"/>
        <rFont val="Calibri"/>
        <family val="2"/>
      </rPr>
      <t>→ LED Rate3</t>
    </r>
  </si>
  <si>
    <r>
      <t xml:space="preserve">HID Rate 1 </t>
    </r>
    <r>
      <rPr>
        <u val="single"/>
        <sz val="11"/>
        <color indexed="8"/>
        <rFont val="Calibri"/>
        <family val="2"/>
      </rPr>
      <t>→ LED Rate3</t>
    </r>
  </si>
  <si>
    <t>N.A.</t>
  </si>
  <si>
    <t>Pole Purchase and Installation Cost</t>
  </si>
  <si>
    <t>/kWh/fixture</t>
  </si>
  <si>
    <t>Rebate</t>
  </si>
  <si>
    <t>Luminaire Installation Cost</t>
  </si>
  <si>
    <t>/kWh</t>
  </si>
  <si>
    <t>LCOS</t>
  </si>
  <si>
    <t>Luminaire Purchase Cost</t>
  </si>
  <si>
    <t>Electricity Rate</t>
  </si>
  <si>
    <t>Quantity</t>
  </si>
  <si>
    <t>hours</t>
  </si>
  <si>
    <t>Expected LED Lifetime</t>
  </si>
  <si>
    <t>Power Consumption (W)</t>
  </si>
  <si>
    <t>Luminarie Installation Cost</t>
  </si>
  <si>
    <t>Type of LED Luminaire</t>
  </si>
  <si>
    <t>LED Rate 3:</t>
  </si>
  <si>
    <t>Power Consumption</t>
  </si>
  <si>
    <t>W</t>
  </si>
  <si>
    <t>LED, Underground</t>
  </si>
  <si>
    <t>Type of Luminaire</t>
  </si>
  <si>
    <t>LCOES ($/kWh)</t>
  </si>
  <si>
    <t>Monthly Meter Charge ($/meter)</t>
  </si>
  <si>
    <t>LED, Ornamental</t>
  </si>
  <si>
    <t>Monthly Leasing Rate ($/luminaire)</t>
  </si>
  <si>
    <t>Meters</t>
  </si>
  <si>
    <t>LED Rate 3</t>
  </si>
  <si>
    <t>Expected Lamp Lifetime (hours)</t>
  </si>
  <si>
    <t>/meter</t>
  </si>
  <si>
    <t>Monthly Meter Charge</t>
  </si>
  <si>
    <t>LCOES</t>
  </si>
  <si>
    <t>Lamp Installation Cost</t>
  </si>
  <si>
    <t>Expected Lamp Lifetime</t>
  </si>
  <si>
    <t>/luminaire</t>
  </si>
  <si>
    <t>Monthly Leasing Rate</t>
  </si>
  <si>
    <t>Lamp Purchase Cost</t>
  </si>
  <si>
    <t>/ luminaire</t>
  </si>
  <si>
    <t>Type of HID Luminaire</t>
  </si>
  <si>
    <t>Overall</t>
  </si>
  <si>
    <r>
      <t xml:space="preserve">HID Rate 3 </t>
    </r>
    <r>
      <rPr>
        <u val="single"/>
        <sz val="11"/>
        <color indexed="8"/>
        <rFont val="Calibri"/>
        <family val="2"/>
      </rPr>
      <t>→ LED Rate 3</t>
    </r>
  </si>
  <si>
    <r>
      <t xml:space="preserve">HID Rate 2 </t>
    </r>
    <r>
      <rPr>
        <u val="single"/>
        <sz val="11"/>
        <color indexed="8"/>
        <rFont val="Calibri"/>
        <family val="2"/>
      </rPr>
      <t>→ LED Rate 3</t>
    </r>
  </si>
  <si>
    <r>
      <t xml:space="preserve">HID Rate 1 </t>
    </r>
    <r>
      <rPr>
        <u val="single"/>
        <sz val="11"/>
        <color indexed="8"/>
        <rFont val="Calibri"/>
        <family val="2"/>
      </rPr>
      <t>→ LED Rate 3</t>
    </r>
  </si>
  <si>
    <t>HID Rate Code:</t>
  </si>
  <si>
    <t>HPS, Underground</t>
  </si>
  <si>
    <t>HPS, Ornamental</t>
  </si>
  <si>
    <t>HID Rate 3:</t>
  </si>
  <si>
    <t>HID Rate 2:</t>
  </si>
  <si>
    <t>HID Rate 1:</t>
  </si>
  <si>
    <t>* Levelized Cost of Services (LCOS) includes the Environmental Improvement Rider, Fuel Cost Charge, Resource Adjustment, Interim Rate Adjustment, and State Tax</t>
  </si>
  <si>
    <t>* Levelized Cost of Energy and Services (LCOES) includes the Energy Charge, Environmental Improvement Rider, Fuel Cost Charge, Resource Adjustment, Interim Rate Adjustment, and State Tax</t>
  </si>
  <si>
    <t>* Levelized Cost of Energy and Services (LCOES) includes the Energy Charge, Environmental Improvement Rider,  Fuel Cost Charge, Resource Adjustment, Interim Rate Adjustment, and State Tax</t>
  </si>
  <si>
    <r>
      <t xml:space="preserve">* Assumed discount rate </t>
    </r>
    <r>
      <rPr>
        <sz val="11"/>
        <color indexed="8"/>
        <rFont val="Calibri"/>
        <family val="2"/>
      </rPr>
      <t>≈</t>
    </r>
  </si>
  <si>
    <t>* Assumed HID roadway fixtures are replaced by LED fixtures that consume 40% as much power</t>
  </si>
  <si>
    <t>years</t>
  </si>
  <si>
    <r>
      <t xml:space="preserve">* Assumed pole lifetime </t>
    </r>
    <r>
      <rPr>
        <sz val="11"/>
        <color indexed="8"/>
        <rFont val="Calibri"/>
        <family val="2"/>
      </rPr>
      <t>≈</t>
    </r>
  </si>
  <si>
    <t>Overall LED Luminaire LCC</t>
  </si>
  <si>
    <t>/ 22 years</t>
  </si>
  <si>
    <r>
      <t xml:space="preserve">* Assumed each LED fixture requires two hours of service over its lifetime </t>
    </r>
    <r>
      <rPr>
        <sz val="11"/>
        <color indexed="8"/>
        <rFont val="Calibri"/>
        <family val="2"/>
      </rPr>
      <t>≈</t>
    </r>
  </si>
  <si>
    <t>Overall HID Luminaire LCC</t>
  </si>
  <si>
    <t>/W</t>
  </si>
  <si>
    <r>
      <t xml:space="preserve">* Assumed avg. purchase cost for new LED fixtures per Watt of energy consumed </t>
    </r>
    <r>
      <rPr>
        <sz val="11"/>
        <color indexed="8"/>
        <rFont val="Calibri"/>
        <family val="2"/>
      </rPr>
      <t>≈</t>
    </r>
  </si>
  <si>
    <t>Overall NPW</t>
  </si>
  <si>
    <t>hrs/yr</t>
  </si>
  <si>
    <r>
      <t xml:space="preserve">* Assumed operatiing time is on 1/2 hr. after sunset and off 1/2 hr. before sunrise </t>
    </r>
    <r>
      <rPr>
        <sz val="11"/>
        <color indexed="8"/>
        <rFont val="Calibri"/>
        <family val="2"/>
      </rPr>
      <t>≈</t>
    </r>
  </si>
  <si>
    <t>Overall SPP (years)</t>
  </si>
  <si>
    <t>Description</t>
  </si>
  <si>
    <t>kW Savings</t>
  </si>
  <si>
    <t>Input</t>
  </si>
  <si>
    <t>HPS Overhead</t>
  </si>
  <si>
    <t>HPS Underground</t>
  </si>
  <si>
    <t>HPS Decorative</t>
  </si>
  <si>
    <t>HPS Residential Underground</t>
  </si>
  <si>
    <t>MH Overhead</t>
  </si>
  <si>
    <t>MH Underground</t>
  </si>
  <si>
    <t>MH Decorative</t>
  </si>
  <si>
    <t>MH Residential Underground</t>
  </si>
  <si>
    <t>MV Ornamental</t>
  </si>
  <si>
    <t>Luminaire Leasing Rate Code</t>
  </si>
  <si>
    <t>Customer Owned, Utility Maintianed</t>
  </si>
  <si>
    <t>Purchase Cost of Replacement Lamp</t>
  </si>
  <si>
    <t>Additional Financial Information</t>
  </si>
  <si>
    <t>Luminiare Type</t>
  </si>
  <si>
    <t>Luminaire Watts</t>
  </si>
  <si>
    <t>Quantity of Luminaires</t>
  </si>
  <si>
    <t>Purchase Cost of Luminaire</t>
  </si>
  <si>
    <t>Existing HID Luminaire Information</t>
  </si>
  <si>
    <t>New LED Luminaire Information</t>
  </si>
  <si>
    <t>Expected Luminaire Lifetime (hours)</t>
  </si>
  <si>
    <t>(set default but can be changed)</t>
  </si>
  <si>
    <t>Average Lamp Lifetime (years)</t>
  </si>
  <si>
    <t>Rebate ($/kWh reduction/luminaire)</t>
  </si>
  <si>
    <t>Total Rebate</t>
  </si>
  <si>
    <t>N/A</t>
  </si>
  <si>
    <t>Leasing Rates and LED Power Consumption</t>
  </si>
  <si>
    <t>Annual Hours of Operation (hrs/yr)</t>
  </si>
  <si>
    <t>HPS Ornamental</t>
  </si>
  <si>
    <t>Results</t>
  </si>
  <si>
    <t>Annual kWh Savings</t>
  </si>
  <si>
    <t>Annual Operating Cost Savings</t>
  </si>
  <si>
    <t>Total LED Luminaire Initial Cost</t>
  </si>
  <si>
    <t>Luminaire Actual Watts</t>
  </si>
  <si>
    <t>(verify with electrician)</t>
  </si>
  <si>
    <t>Utility Owned &amp; Maintained</t>
  </si>
  <si>
    <t>Customer Owned &amp; Maintained</t>
  </si>
  <si>
    <t>Levelized Cost of Services ($/kWh)</t>
  </si>
  <si>
    <t>Leasing Rate</t>
  </si>
  <si>
    <t xml:space="preserve">Simple Payback (years) </t>
  </si>
  <si>
    <t>Installation Cost of New Luminaire</t>
  </si>
  <si>
    <t>Installation Cost of Replacement Lamp</t>
  </si>
  <si>
    <t>Roadway Lighting Economics Calculator</t>
  </si>
  <si>
    <t>Total Life Cycle Cost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</si>
</sst>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  <numFmt numFmtId="167" formatCode="&quot;$&quot;#,##0.00000"/>
    <numFmt numFmtId="168" formatCode="&quot;$&quot;#,##0.000"/>
    <numFmt numFmtId="169" formatCode="&quot;$&quot;#,##0.00"/>
    <numFmt numFmtId="170" formatCode="#,##0.0"/>
    <numFmt numFmtId="171" formatCode="&quot;$&quot;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20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0070C0"/>
      <name val="Calibri"/>
      <family val="2"/>
    </font>
    <font>
      <sz val="11"/>
      <color theme="5" tint="-0.24997000396251678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4"/>
      <name val="Times New Roman"/>
      <family val="1"/>
    </font>
    <font>
      <sz val="11"/>
      <color rgb="FF3F3F76"/>
      <name val="Times New Roman"/>
      <family val="1"/>
    </font>
    <font>
      <b/>
      <sz val="20"/>
      <color rgb="FF0070C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164" fontId="46" fillId="33" borderId="10" xfId="0" applyNumberFormat="1" applyFont="1" applyFill="1" applyBorder="1" applyAlignment="1">
      <alignment horizontal="right"/>
    </xf>
    <xf numFmtId="164" fontId="47" fillId="33" borderId="11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164" fontId="46" fillId="33" borderId="13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0" fontId="47" fillId="33" borderId="14" xfId="0" applyFont="1" applyFill="1" applyBorder="1" applyAlignment="1">
      <alignment/>
    </xf>
    <xf numFmtId="165" fontId="46" fillId="33" borderId="15" xfId="0" applyNumberFormat="1" applyFont="1" applyFill="1" applyBorder="1" applyAlignment="1">
      <alignment horizontal="right"/>
    </xf>
    <xf numFmtId="165" fontId="47" fillId="33" borderId="16" xfId="0" applyNumberFormat="1" applyFont="1" applyFill="1" applyBorder="1" applyAlignment="1">
      <alignment horizontal="right"/>
    </xf>
    <xf numFmtId="0" fontId="47" fillId="33" borderId="17" xfId="0" applyFont="1" applyFill="1" applyBorder="1" applyAlignment="1">
      <alignment/>
    </xf>
    <xf numFmtId="165" fontId="48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6" fontId="4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0" fillId="0" borderId="14" xfId="0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47" fillId="33" borderId="13" xfId="0" applyNumberFormat="1" applyFont="1" applyFill="1" applyBorder="1" applyAlignment="1">
      <alignment/>
    </xf>
    <xf numFmtId="164" fontId="48" fillId="34" borderId="18" xfId="0" applyNumberFormat="1" applyFont="1" applyFill="1" applyBorder="1" applyAlignment="1">
      <alignment/>
    </xf>
    <xf numFmtId="164" fontId="7" fillId="34" borderId="19" xfId="52" applyNumberFormat="1" applyFont="1" applyFill="1" applyBorder="1" applyAlignment="1">
      <alignment horizontal="right"/>
    </xf>
    <xf numFmtId="0" fontId="7" fillId="34" borderId="20" xfId="0" applyFont="1" applyFill="1" applyBorder="1" applyAlignment="1">
      <alignment/>
    </xf>
    <xf numFmtId="165" fontId="47" fillId="33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" fillId="34" borderId="20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/>
    </xf>
    <xf numFmtId="168" fontId="7" fillId="35" borderId="0" xfId="5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7" fontId="7" fillId="35" borderId="0" xfId="52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164" fontId="7" fillId="34" borderId="18" xfId="52" applyNumberFormat="1" applyFont="1" applyFill="1" applyBorder="1" applyAlignment="1">
      <alignment/>
    </xf>
    <xf numFmtId="3" fontId="7" fillId="35" borderId="0" xfId="5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35" borderId="0" xfId="52" applyFont="1" applyFill="1" applyBorder="1" applyAlignment="1">
      <alignment horizontal="right"/>
    </xf>
    <xf numFmtId="164" fontId="7" fillId="35" borderId="0" xfId="5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7" fontId="39" fillId="30" borderId="22" xfId="52" applyNumberFormat="1" applyBorder="1" applyAlignment="1">
      <alignment/>
    </xf>
    <xf numFmtId="168" fontId="39" fillId="30" borderId="23" xfId="52" applyNumberFormat="1" applyFont="1" applyBorder="1" applyAlignment="1">
      <alignment/>
    </xf>
    <xf numFmtId="0" fontId="0" fillId="0" borderId="0" xfId="0" applyFont="1" applyBorder="1" applyAlignment="1">
      <alignment/>
    </xf>
    <xf numFmtId="167" fontId="39" fillId="30" borderId="23" xfId="52" applyNumberFormat="1" applyFont="1" applyBorder="1" applyAlignment="1">
      <alignment/>
    </xf>
    <xf numFmtId="3" fontId="39" fillId="30" borderId="23" xfId="5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164" fontId="39" fillId="30" borderId="23" xfId="52" applyNumberFormat="1" applyFont="1" applyBorder="1" applyAlignment="1">
      <alignment/>
    </xf>
    <xf numFmtId="168" fontId="39" fillId="30" borderId="24" xfId="52" applyNumberFormat="1" applyFont="1" applyBorder="1" applyAlignment="1">
      <alignment/>
    </xf>
    <xf numFmtId="0" fontId="0" fillId="0" borderId="21" xfId="0" applyBorder="1" applyAlignment="1">
      <alignment/>
    </xf>
    <xf numFmtId="168" fontId="39" fillId="30" borderId="23" xfId="52" applyNumberFormat="1" applyBorder="1" applyAlignment="1">
      <alignment/>
    </xf>
    <xf numFmtId="167" fontId="39" fillId="30" borderId="23" xfId="52" applyNumberFormat="1" applyBorder="1" applyAlignment="1">
      <alignment/>
    </xf>
    <xf numFmtId="0" fontId="39" fillId="30" borderId="23" xfId="52" applyFont="1" applyBorder="1" applyAlignment="1">
      <alignment/>
    </xf>
    <xf numFmtId="3" fontId="39" fillId="30" borderId="23" xfId="52" applyNumberFormat="1" applyBorder="1" applyAlignment="1">
      <alignment/>
    </xf>
    <xf numFmtId="0" fontId="39" fillId="30" borderId="23" xfId="52" applyBorder="1" applyAlignment="1">
      <alignment/>
    </xf>
    <xf numFmtId="0" fontId="0" fillId="0" borderId="11" xfId="0" applyBorder="1" applyAlignment="1">
      <alignment/>
    </xf>
    <xf numFmtId="168" fontId="7" fillId="35" borderId="11" xfId="52" applyNumberFormat="1" applyFont="1" applyFill="1" applyBorder="1" applyAlignment="1">
      <alignment horizontal="right"/>
    </xf>
    <xf numFmtId="0" fontId="7" fillId="35" borderId="11" xfId="52" applyFont="1" applyFill="1" applyBorder="1" applyAlignment="1">
      <alignment horizontal="right"/>
    </xf>
    <xf numFmtId="164" fontId="39" fillId="30" borderId="23" xfId="52" applyNumberFormat="1" applyBorder="1" applyAlignment="1">
      <alignment/>
    </xf>
    <xf numFmtId="0" fontId="0" fillId="0" borderId="0" xfId="0" applyFont="1" applyBorder="1" applyAlignment="1" quotePrefix="1">
      <alignment/>
    </xf>
    <xf numFmtId="169" fontId="7" fillId="35" borderId="0" xfId="52" applyNumberFormat="1" applyFont="1" applyFill="1" applyBorder="1" applyAlignment="1">
      <alignment horizontal="right"/>
    </xf>
    <xf numFmtId="168" fontId="39" fillId="30" borderId="22" xfId="52" applyNumberFormat="1" applyFont="1" applyBorder="1" applyAlignment="1">
      <alignment/>
    </xf>
    <xf numFmtId="169" fontId="39" fillId="30" borderId="23" xfId="52" applyNumberFormat="1" applyFont="1" applyBorder="1" applyAlignment="1">
      <alignment/>
    </xf>
    <xf numFmtId="0" fontId="0" fillId="0" borderId="0" xfId="0" applyBorder="1" applyAlignment="1" quotePrefix="1">
      <alignment/>
    </xf>
    <xf numFmtId="168" fontId="39" fillId="30" borderId="25" xfId="52" applyNumberFormat="1" applyBorder="1" applyAlignment="1">
      <alignment/>
    </xf>
    <xf numFmtId="169" fontId="39" fillId="30" borderId="23" xfId="52" applyNumberForma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39" fillId="30" borderId="23" xfId="52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 wrapText="1"/>
    </xf>
    <xf numFmtId="9" fontId="39" fillId="30" borderId="1" xfId="52" applyNumberFormat="1" applyBorder="1" applyAlignment="1">
      <alignment horizontal="center"/>
    </xf>
    <xf numFmtId="0" fontId="39" fillId="30" borderId="1" xfId="52" applyAlignment="1">
      <alignment horizontal="center"/>
    </xf>
    <xf numFmtId="164" fontId="33" fillId="36" borderId="10" xfId="0" applyNumberFormat="1" applyFont="1" applyFill="1" applyBorder="1" applyAlignment="1">
      <alignment/>
    </xf>
    <xf numFmtId="0" fontId="33" fillId="36" borderId="12" xfId="0" applyFont="1" applyFill="1" applyBorder="1" applyAlignment="1">
      <alignment/>
    </xf>
    <xf numFmtId="164" fontId="39" fillId="30" borderId="23" xfId="52" applyNumberFormat="1" applyBorder="1" applyAlignment="1">
      <alignment horizontal="center" wrapText="1"/>
    </xf>
    <xf numFmtId="164" fontId="33" fillId="36" borderId="13" xfId="0" applyNumberFormat="1" applyFont="1" applyFill="1" applyBorder="1" applyAlignment="1">
      <alignment/>
    </xf>
    <xf numFmtId="0" fontId="33" fillId="36" borderId="14" xfId="0" applyFont="1" applyFill="1" applyBorder="1" applyAlignment="1">
      <alignment/>
    </xf>
    <xf numFmtId="0" fontId="0" fillId="0" borderId="0" xfId="0" applyBorder="1" applyAlignment="1">
      <alignment wrapText="1"/>
    </xf>
    <xf numFmtId="169" fontId="39" fillId="30" borderId="23" xfId="52" applyNumberFormat="1" applyBorder="1" applyAlignment="1">
      <alignment horizontal="center"/>
    </xf>
    <xf numFmtId="0" fontId="39" fillId="30" borderId="23" xfId="52" applyBorder="1" applyAlignment="1">
      <alignment horizontal="center"/>
    </xf>
    <xf numFmtId="170" fontId="33" fillId="36" borderId="15" xfId="0" applyNumberFormat="1" applyFont="1" applyFill="1" applyBorder="1" applyAlignment="1">
      <alignment/>
    </xf>
    <xf numFmtId="0" fontId="33" fillId="36" borderId="17" xfId="0" applyFont="1" applyFill="1" applyBorder="1" applyAlignment="1">
      <alignment/>
    </xf>
    <xf numFmtId="0" fontId="39" fillId="30" borderId="26" xfId="52" applyBorder="1" applyAlignment="1">
      <alignment horizontal="center"/>
    </xf>
    <xf numFmtId="169" fontId="50" fillId="35" borderId="27" xfId="0" applyNumberFormat="1" applyFont="1" applyFill="1" applyBorder="1" applyAlignment="1" applyProtection="1">
      <alignment horizontal="right"/>
      <protection locked="0"/>
    </xf>
    <xf numFmtId="164" fontId="50" fillId="35" borderId="27" xfId="0" applyNumberFormat="1" applyFont="1" applyFill="1" applyBorder="1" applyAlignment="1" applyProtection="1">
      <alignment horizontal="right"/>
      <protection locked="0"/>
    </xf>
    <xf numFmtId="166" fontId="50" fillId="35" borderId="27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28" xfId="0" applyFont="1" applyBorder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51" fillId="0" borderId="14" xfId="0" applyFont="1" applyBorder="1" applyAlignment="1" applyProtection="1">
      <alignment/>
      <protection hidden="1"/>
    </xf>
    <xf numFmtId="3" fontId="51" fillId="35" borderId="29" xfId="0" applyNumberFormat="1" applyFont="1" applyFill="1" applyBorder="1" applyAlignment="1" applyProtection="1">
      <alignment horizontal="right"/>
      <protection hidden="1"/>
    </xf>
    <xf numFmtId="0" fontId="51" fillId="0" borderId="27" xfId="0" applyFont="1" applyBorder="1" applyAlignment="1" applyProtection="1">
      <alignment horizontal="right"/>
      <protection hidden="1"/>
    </xf>
    <xf numFmtId="0" fontId="50" fillId="0" borderId="14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35" borderId="27" xfId="0" applyFont="1" applyFill="1" applyBorder="1" applyAlignment="1" applyProtection="1">
      <alignment horizontal="right"/>
      <protection hidden="1"/>
    </xf>
    <xf numFmtId="164" fontId="51" fillId="0" borderId="27" xfId="0" applyNumberFormat="1" applyFont="1" applyBorder="1" applyAlignment="1" applyProtection="1">
      <alignment horizontal="right"/>
      <protection hidden="1"/>
    </xf>
    <xf numFmtId="171" fontId="50" fillId="0" borderId="27" xfId="0" applyNumberFormat="1" applyFont="1" applyBorder="1" applyAlignment="1" applyProtection="1">
      <alignment horizontal="right"/>
      <protection hidden="1"/>
    </xf>
    <xf numFmtId="169" fontId="50" fillId="0" borderId="27" xfId="0" applyNumberFormat="1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 quotePrefix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168" fontId="51" fillId="0" borderId="0" xfId="0" applyNumberFormat="1" applyFont="1" applyAlignment="1" applyProtection="1">
      <alignment/>
      <protection hidden="1"/>
    </xf>
    <xf numFmtId="164" fontId="51" fillId="35" borderId="27" xfId="0" applyNumberFormat="1" applyFont="1" applyFill="1" applyBorder="1" applyAlignment="1" applyProtection="1">
      <alignment horizontal="right"/>
      <protection hidden="1"/>
    </xf>
    <xf numFmtId="3" fontId="50" fillId="35" borderId="27" xfId="0" applyNumberFormat="1" applyFont="1" applyFill="1" applyBorder="1" applyAlignment="1" applyProtection="1">
      <alignment horizontal="right"/>
      <protection hidden="1"/>
    </xf>
    <xf numFmtId="164" fontId="50" fillId="35" borderId="27" xfId="0" applyNumberFormat="1" applyFont="1" applyFill="1" applyBorder="1" applyAlignment="1" applyProtection="1">
      <alignment horizontal="right"/>
      <protection hidden="1"/>
    </xf>
    <xf numFmtId="0" fontId="52" fillId="0" borderId="23" xfId="0" applyFont="1" applyBorder="1" applyAlignment="1" applyProtection="1">
      <alignment/>
      <protection hidden="1"/>
    </xf>
    <xf numFmtId="1" fontId="51" fillId="0" borderId="30" xfId="0" applyNumberFormat="1" applyFont="1" applyBorder="1" applyAlignment="1" applyProtection="1">
      <alignment/>
      <protection hidden="1"/>
    </xf>
    <xf numFmtId="0" fontId="51" fillId="0" borderId="31" xfId="0" applyFont="1" applyBorder="1" applyAlignment="1" applyProtection="1">
      <alignment/>
      <protection hidden="1"/>
    </xf>
    <xf numFmtId="169" fontId="51" fillId="0" borderId="32" xfId="0" applyNumberFormat="1" applyFont="1" applyBorder="1" applyAlignment="1" applyProtection="1">
      <alignment horizontal="right"/>
      <protection hidden="1"/>
    </xf>
    <xf numFmtId="0" fontId="51" fillId="0" borderId="31" xfId="0" applyFont="1" applyBorder="1" applyAlignment="1" applyProtection="1">
      <alignment/>
      <protection hidden="1"/>
    </xf>
    <xf numFmtId="1" fontId="51" fillId="0" borderId="30" xfId="0" applyNumberFormat="1" applyFont="1" applyBorder="1" applyAlignment="1" applyProtection="1">
      <alignment/>
      <protection hidden="1"/>
    </xf>
    <xf numFmtId="168" fontId="51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2" fillId="0" borderId="12" xfId="0" applyFont="1" applyBorder="1" applyAlignment="1" applyProtection="1">
      <alignment/>
      <protection hidden="1"/>
    </xf>
    <xf numFmtId="0" fontId="51" fillId="0" borderId="33" xfId="0" applyFont="1" applyBorder="1" applyAlignment="1" applyProtection="1">
      <alignment horizontal="right"/>
      <protection hidden="1"/>
    </xf>
    <xf numFmtId="0" fontId="51" fillId="0" borderId="29" xfId="0" applyFont="1" applyBorder="1" applyAlignment="1" applyProtection="1">
      <alignment horizontal="right"/>
      <protection hidden="1"/>
    </xf>
    <xf numFmtId="0" fontId="53" fillId="0" borderId="12" xfId="0" applyFont="1" applyBorder="1" applyAlignment="1" applyProtection="1">
      <alignment/>
      <protection hidden="1"/>
    </xf>
    <xf numFmtId="4" fontId="50" fillId="35" borderId="29" xfId="0" applyNumberFormat="1" applyFont="1" applyFill="1" applyBorder="1" applyAlignment="1" applyProtection="1">
      <alignment horizontal="right"/>
      <protection hidden="1"/>
    </xf>
    <xf numFmtId="0" fontId="51" fillId="0" borderId="33" xfId="0" applyFont="1" applyBorder="1" applyAlignment="1" applyProtection="1">
      <alignment/>
      <protection hidden="1"/>
    </xf>
    <xf numFmtId="165" fontId="54" fillId="34" borderId="27" xfId="0" applyNumberFormat="1" applyFont="1" applyFill="1" applyBorder="1" applyAlignment="1" applyProtection="1">
      <alignment horizontal="right"/>
      <protection hidden="1"/>
    </xf>
    <xf numFmtId="164" fontId="54" fillId="34" borderId="33" xfId="0" applyNumberFormat="1" applyFont="1" applyFill="1" applyBorder="1" applyAlignment="1" applyProtection="1">
      <alignment horizontal="right"/>
      <protection hidden="1"/>
    </xf>
    <xf numFmtId="0" fontId="55" fillId="0" borderId="0" xfId="0" applyFont="1" applyAlignment="1" applyProtection="1">
      <alignment/>
      <protection hidden="1"/>
    </xf>
    <xf numFmtId="0" fontId="56" fillId="30" borderId="34" xfId="52" applyFont="1" applyBorder="1" applyAlignment="1" applyProtection="1">
      <alignment horizontal="center"/>
      <protection locked="0"/>
    </xf>
    <xf numFmtId="0" fontId="56" fillId="30" borderId="34" xfId="52" applyFont="1" applyBorder="1" applyAlignment="1" applyProtection="1">
      <alignment horizontal="right"/>
      <protection locked="0"/>
    </xf>
    <xf numFmtId="3" fontId="56" fillId="30" borderId="34" xfId="52" applyNumberFormat="1" applyFont="1" applyBorder="1" applyAlignment="1" applyProtection="1">
      <alignment horizontal="right"/>
      <protection locked="0"/>
    </xf>
    <xf numFmtId="167" fontId="56" fillId="30" borderId="34" xfId="52" applyNumberFormat="1" applyFont="1" applyBorder="1" applyAlignment="1" applyProtection="1">
      <alignment horizontal="right"/>
      <protection locked="0"/>
    </xf>
    <xf numFmtId="0" fontId="57" fillId="0" borderId="0" xfId="0" applyFont="1" applyAlignment="1" applyProtection="1">
      <alignment horizontal="center"/>
      <protection hidden="1"/>
    </xf>
    <xf numFmtId="0" fontId="52" fillId="0" borderId="35" xfId="0" applyFont="1" applyBorder="1" applyAlignment="1" applyProtection="1">
      <alignment horizontal="center"/>
      <protection hidden="1"/>
    </xf>
    <xf numFmtId="0" fontId="52" fillId="0" borderId="36" xfId="0" applyFont="1" applyBorder="1" applyAlignment="1" applyProtection="1">
      <alignment horizontal="center"/>
      <protection hidden="1"/>
    </xf>
    <xf numFmtId="0" fontId="52" fillId="0" borderId="37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164" fontId="39" fillId="30" borderId="23" xfId="52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6"/>
  <sheetViews>
    <sheetView showGridLines="0" tabSelected="1" zoomScalePageLayoutView="0" workbookViewId="0" topLeftCell="A1">
      <selection activeCell="AQ28" sqref="AQ28"/>
    </sheetView>
  </sheetViews>
  <sheetFormatPr defaultColWidth="9.140625" defaultRowHeight="15"/>
  <cols>
    <col min="1" max="1" width="9.140625" style="93" customWidth="1"/>
    <col min="2" max="2" width="35.8515625" style="93" bestFit="1" customWidth="1"/>
    <col min="3" max="3" width="34.28125" style="93" bestFit="1" customWidth="1"/>
    <col min="4" max="4" width="29.140625" style="93" bestFit="1" customWidth="1"/>
    <col min="5" max="5" width="21.8515625" style="93" customWidth="1"/>
    <col min="6" max="6" width="32.28125" style="93" hidden="1" customWidth="1"/>
    <col min="7" max="8" width="9.8515625" style="93" hidden="1" customWidth="1"/>
    <col min="9" max="39" width="7.421875" style="93" hidden="1" customWidth="1"/>
    <col min="40" max="41" width="22.421875" style="93" hidden="1" customWidth="1"/>
    <col min="42" max="42" width="14.140625" style="93" bestFit="1" customWidth="1"/>
    <col min="43" max="43" width="9.57421875" style="93" customWidth="1"/>
    <col min="44" max="46" width="9.140625" style="93" customWidth="1"/>
    <col min="47" max="47" width="22.8515625" style="93" customWidth="1"/>
    <col min="48" max="16384" width="9.140625" style="93" customWidth="1"/>
  </cols>
  <sheetData>
    <row r="1" spans="2:3" ht="38.25" customHeight="1">
      <c r="B1" s="135" t="s">
        <v>126</v>
      </c>
      <c r="C1" s="135"/>
    </row>
    <row r="2" spans="8:38" ht="15.75" thickBot="1">
      <c r="H2" s="139" t="s">
        <v>110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2:41" ht="16.5" thickBot="1">
      <c r="B3" s="94" t="s">
        <v>82</v>
      </c>
      <c r="C3" s="95" t="s">
        <v>84</v>
      </c>
      <c r="D3" s="96"/>
      <c r="E3" s="96"/>
      <c r="G3" s="136">
        <v>50</v>
      </c>
      <c r="H3" s="137"/>
      <c r="I3" s="138"/>
      <c r="J3" s="136">
        <v>70</v>
      </c>
      <c r="K3" s="137"/>
      <c r="L3" s="138"/>
      <c r="M3" s="136">
        <v>100</v>
      </c>
      <c r="N3" s="137"/>
      <c r="O3" s="138"/>
      <c r="P3" s="136">
        <v>150</v>
      </c>
      <c r="Q3" s="137"/>
      <c r="R3" s="138"/>
      <c r="S3" s="136">
        <v>175</v>
      </c>
      <c r="T3" s="137"/>
      <c r="U3" s="138"/>
      <c r="V3" s="136">
        <v>200</v>
      </c>
      <c r="W3" s="137"/>
      <c r="X3" s="138"/>
      <c r="Y3" s="136">
        <v>250</v>
      </c>
      <c r="Z3" s="137"/>
      <c r="AA3" s="138"/>
      <c r="AB3" s="136">
        <v>400</v>
      </c>
      <c r="AC3" s="137"/>
      <c r="AD3" s="138"/>
      <c r="AE3" s="136">
        <v>700</v>
      </c>
      <c r="AF3" s="137"/>
      <c r="AG3" s="138"/>
      <c r="AH3" s="136">
        <v>750</v>
      </c>
      <c r="AI3" s="137"/>
      <c r="AJ3" s="138"/>
      <c r="AK3" s="136">
        <v>1000</v>
      </c>
      <c r="AL3" s="137"/>
      <c r="AM3" s="138"/>
      <c r="AO3" s="93">
        <v>50</v>
      </c>
    </row>
    <row r="4" spans="2:41" ht="19.5" customHeight="1">
      <c r="B4" s="97" t="s">
        <v>111</v>
      </c>
      <c r="C4" s="98">
        <v>3600</v>
      </c>
      <c r="D4" s="93" t="s">
        <v>105</v>
      </c>
      <c r="F4" s="114" t="s">
        <v>85</v>
      </c>
      <c r="G4" s="115">
        <v>61</v>
      </c>
      <c r="H4" s="116">
        <v>24</v>
      </c>
      <c r="I4" s="117" t="s">
        <v>109</v>
      </c>
      <c r="J4" s="115">
        <v>93</v>
      </c>
      <c r="K4" s="118">
        <v>37</v>
      </c>
      <c r="L4" s="117">
        <v>8.88</v>
      </c>
      <c r="M4" s="119">
        <v>116</v>
      </c>
      <c r="N4" s="118">
        <v>46</v>
      </c>
      <c r="O4" s="117">
        <v>9.3</v>
      </c>
      <c r="P4" s="115">
        <v>173</v>
      </c>
      <c r="Q4" s="118">
        <v>69</v>
      </c>
      <c r="R4" s="117">
        <v>9.86</v>
      </c>
      <c r="S4" s="115">
        <v>210</v>
      </c>
      <c r="T4" s="118">
        <v>84</v>
      </c>
      <c r="U4" s="117" t="s">
        <v>109</v>
      </c>
      <c r="V4" s="119">
        <v>240</v>
      </c>
      <c r="W4" s="118">
        <v>96</v>
      </c>
      <c r="X4" s="117">
        <v>11.73</v>
      </c>
      <c r="Y4" s="115">
        <v>302</v>
      </c>
      <c r="Z4" s="118">
        <v>121</v>
      </c>
      <c r="AA4" s="117">
        <v>12.37</v>
      </c>
      <c r="AB4" s="115">
        <v>469</v>
      </c>
      <c r="AC4" s="118">
        <v>188</v>
      </c>
      <c r="AD4" s="117">
        <v>15.29</v>
      </c>
      <c r="AE4" s="115">
        <v>783</v>
      </c>
      <c r="AF4" s="116">
        <v>313</v>
      </c>
      <c r="AG4" s="117" t="s">
        <v>109</v>
      </c>
      <c r="AH4" s="115">
        <v>843</v>
      </c>
      <c r="AI4" s="116">
        <v>337</v>
      </c>
      <c r="AJ4" s="117" t="s">
        <v>109</v>
      </c>
      <c r="AK4" s="115">
        <v>1090</v>
      </c>
      <c r="AL4" s="116">
        <v>436</v>
      </c>
      <c r="AM4" s="117" t="s">
        <v>109</v>
      </c>
      <c r="AO4" s="93">
        <v>70</v>
      </c>
    </row>
    <row r="5" spans="2:41" ht="19.5" customHeight="1">
      <c r="B5" s="97" t="s">
        <v>94</v>
      </c>
      <c r="C5" s="131"/>
      <c r="F5" s="114" t="s">
        <v>86</v>
      </c>
      <c r="G5" s="115">
        <v>61</v>
      </c>
      <c r="H5" s="116">
        <v>24</v>
      </c>
      <c r="I5" s="117" t="s">
        <v>109</v>
      </c>
      <c r="J5" s="115">
        <v>93</v>
      </c>
      <c r="K5" s="118">
        <v>37</v>
      </c>
      <c r="L5" s="117">
        <v>16.6</v>
      </c>
      <c r="M5" s="119">
        <v>116</v>
      </c>
      <c r="N5" s="118">
        <v>46</v>
      </c>
      <c r="O5" s="117">
        <v>17.02</v>
      </c>
      <c r="P5" s="115">
        <v>173</v>
      </c>
      <c r="Q5" s="118">
        <v>69</v>
      </c>
      <c r="R5" s="117">
        <v>17.55</v>
      </c>
      <c r="S5" s="115">
        <v>210</v>
      </c>
      <c r="T5" s="118">
        <v>84</v>
      </c>
      <c r="U5" s="117" t="s">
        <v>109</v>
      </c>
      <c r="V5" s="119">
        <v>240</v>
      </c>
      <c r="W5" s="118">
        <v>96</v>
      </c>
      <c r="X5" s="117" t="s">
        <v>109</v>
      </c>
      <c r="Y5" s="115">
        <v>302</v>
      </c>
      <c r="Z5" s="118">
        <v>121</v>
      </c>
      <c r="AA5" s="117">
        <v>19.89</v>
      </c>
      <c r="AB5" s="115">
        <v>469</v>
      </c>
      <c r="AC5" s="118">
        <v>188</v>
      </c>
      <c r="AD5" s="117">
        <v>22.07</v>
      </c>
      <c r="AE5" s="115">
        <v>783</v>
      </c>
      <c r="AF5" s="116">
        <v>313</v>
      </c>
      <c r="AG5" s="117" t="s">
        <v>109</v>
      </c>
      <c r="AH5" s="115">
        <v>843</v>
      </c>
      <c r="AI5" s="116">
        <v>337</v>
      </c>
      <c r="AJ5" s="117" t="s">
        <v>109</v>
      </c>
      <c r="AK5" s="115">
        <v>1090</v>
      </c>
      <c r="AL5" s="116">
        <v>436</v>
      </c>
      <c r="AM5" s="117" t="s">
        <v>109</v>
      </c>
      <c r="AO5" s="93">
        <v>100</v>
      </c>
    </row>
    <row r="6" spans="2:41" ht="19.5" customHeight="1" thickBot="1">
      <c r="B6" s="122" t="s">
        <v>102</v>
      </c>
      <c r="C6" s="123"/>
      <c r="F6" s="114" t="s">
        <v>87</v>
      </c>
      <c r="G6" s="115">
        <v>61</v>
      </c>
      <c r="H6" s="116">
        <v>24</v>
      </c>
      <c r="I6" s="117" t="s">
        <v>109</v>
      </c>
      <c r="J6" s="115">
        <v>93</v>
      </c>
      <c r="K6" s="118">
        <v>37</v>
      </c>
      <c r="L6" s="117" t="s">
        <v>109</v>
      </c>
      <c r="M6" s="119">
        <v>116</v>
      </c>
      <c r="N6" s="118">
        <v>46</v>
      </c>
      <c r="O6" s="117">
        <v>24.63</v>
      </c>
      <c r="P6" s="115">
        <v>173</v>
      </c>
      <c r="Q6" s="118">
        <v>69</v>
      </c>
      <c r="R6" s="117">
        <v>26.21</v>
      </c>
      <c r="S6" s="115">
        <v>210</v>
      </c>
      <c r="T6" s="118">
        <v>84</v>
      </c>
      <c r="U6" s="117" t="s">
        <v>109</v>
      </c>
      <c r="V6" s="119">
        <v>240</v>
      </c>
      <c r="W6" s="118">
        <v>96</v>
      </c>
      <c r="X6" s="117" t="s">
        <v>109</v>
      </c>
      <c r="Y6" s="115">
        <v>302</v>
      </c>
      <c r="Z6" s="118">
        <v>121</v>
      </c>
      <c r="AA6" s="117">
        <v>27.75</v>
      </c>
      <c r="AB6" s="115">
        <v>469</v>
      </c>
      <c r="AC6" s="118">
        <v>188</v>
      </c>
      <c r="AD6" s="117">
        <v>29.44</v>
      </c>
      <c r="AE6" s="115">
        <v>783</v>
      </c>
      <c r="AF6" s="116">
        <v>313</v>
      </c>
      <c r="AG6" s="117" t="s">
        <v>109</v>
      </c>
      <c r="AH6" s="115">
        <v>843</v>
      </c>
      <c r="AI6" s="116">
        <v>337</v>
      </c>
      <c r="AJ6" s="117" t="s">
        <v>109</v>
      </c>
      <c r="AK6" s="115">
        <v>1090</v>
      </c>
      <c r="AL6" s="116">
        <v>436</v>
      </c>
      <c r="AM6" s="117" t="s">
        <v>109</v>
      </c>
      <c r="AO6" s="93">
        <v>150</v>
      </c>
    </row>
    <row r="7" spans="2:44" ht="19.5" customHeight="1">
      <c r="B7" s="100" t="s">
        <v>98</v>
      </c>
      <c r="C7" s="131"/>
      <c r="D7" s="96"/>
      <c r="E7" s="96"/>
      <c r="F7" s="114" t="s">
        <v>88</v>
      </c>
      <c r="G7" s="115">
        <v>61</v>
      </c>
      <c r="H7" s="116">
        <v>24</v>
      </c>
      <c r="I7" s="117" t="s">
        <v>109</v>
      </c>
      <c r="J7" s="115">
        <v>93</v>
      </c>
      <c r="K7" s="118">
        <v>37</v>
      </c>
      <c r="L7" s="117" t="s">
        <v>109</v>
      </c>
      <c r="M7" s="119">
        <v>116</v>
      </c>
      <c r="N7" s="118">
        <v>46</v>
      </c>
      <c r="O7" s="117">
        <v>6.08</v>
      </c>
      <c r="P7" s="115">
        <v>173</v>
      </c>
      <c r="Q7" s="118">
        <v>69</v>
      </c>
      <c r="R7" s="117">
        <v>6.89</v>
      </c>
      <c r="S7" s="115">
        <v>210</v>
      </c>
      <c r="T7" s="118">
        <v>84</v>
      </c>
      <c r="U7" s="117" t="s">
        <v>109</v>
      </c>
      <c r="V7" s="119">
        <v>240</v>
      </c>
      <c r="W7" s="118">
        <v>96</v>
      </c>
      <c r="X7" s="117" t="s">
        <v>109</v>
      </c>
      <c r="Y7" s="115">
        <v>302</v>
      </c>
      <c r="Z7" s="118">
        <v>121</v>
      </c>
      <c r="AA7" s="117" t="s">
        <v>109</v>
      </c>
      <c r="AB7" s="115">
        <v>469</v>
      </c>
      <c r="AC7" s="118">
        <v>188</v>
      </c>
      <c r="AD7" s="117" t="s">
        <v>109</v>
      </c>
      <c r="AE7" s="115">
        <v>783</v>
      </c>
      <c r="AF7" s="116">
        <v>313</v>
      </c>
      <c r="AG7" s="117" t="s">
        <v>109</v>
      </c>
      <c r="AH7" s="115">
        <v>843</v>
      </c>
      <c r="AI7" s="116">
        <v>337</v>
      </c>
      <c r="AJ7" s="117" t="s">
        <v>109</v>
      </c>
      <c r="AK7" s="115">
        <v>1090</v>
      </c>
      <c r="AL7" s="116">
        <v>436</v>
      </c>
      <c r="AM7" s="117" t="s">
        <v>109</v>
      </c>
      <c r="AO7" s="93">
        <v>175</v>
      </c>
      <c r="AR7" s="101"/>
    </row>
    <row r="8" spans="2:44" ht="19.5" customHeight="1">
      <c r="B8" s="100" t="s">
        <v>99</v>
      </c>
      <c r="C8" s="132"/>
      <c r="D8" s="96"/>
      <c r="E8" s="96"/>
      <c r="F8" s="114" t="s">
        <v>89</v>
      </c>
      <c r="G8" s="115"/>
      <c r="H8" s="116"/>
      <c r="I8" s="117" t="s">
        <v>109</v>
      </c>
      <c r="J8" s="115">
        <v>95</v>
      </c>
      <c r="K8" s="116">
        <v>38</v>
      </c>
      <c r="L8" s="117" t="s">
        <v>109</v>
      </c>
      <c r="M8" s="115">
        <v>142</v>
      </c>
      <c r="N8" s="116">
        <v>57</v>
      </c>
      <c r="O8" s="117" t="s">
        <v>109</v>
      </c>
      <c r="P8" s="115"/>
      <c r="Q8" s="116"/>
      <c r="R8" s="117" t="s">
        <v>109</v>
      </c>
      <c r="S8" s="115">
        <v>210</v>
      </c>
      <c r="T8" s="116">
        <v>84</v>
      </c>
      <c r="U8" s="117">
        <v>14.02</v>
      </c>
      <c r="V8" s="115"/>
      <c r="W8" s="116"/>
      <c r="X8" s="117" t="s">
        <v>109</v>
      </c>
      <c r="Y8" s="115">
        <v>295</v>
      </c>
      <c r="Z8" s="116">
        <v>118</v>
      </c>
      <c r="AA8" s="117" t="s">
        <v>109</v>
      </c>
      <c r="AB8" s="115">
        <v>461</v>
      </c>
      <c r="AC8" s="116">
        <v>184</v>
      </c>
      <c r="AD8" s="117" t="s">
        <v>109</v>
      </c>
      <c r="AE8" s="115"/>
      <c r="AF8" s="116"/>
      <c r="AG8" s="117" t="s">
        <v>109</v>
      </c>
      <c r="AH8" s="115"/>
      <c r="AI8" s="116"/>
      <c r="AJ8" s="117" t="s">
        <v>109</v>
      </c>
      <c r="AK8" s="115">
        <v>1080</v>
      </c>
      <c r="AL8" s="116">
        <v>432</v>
      </c>
      <c r="AM8" s="117" t="s">
        <v>109</v>
      </c>
      <c r="AO8" s="93">
        <v>200</v>
      </c>
      <c r="AQ8" s="102"/>
      <c r="AR8" s="102"/>
    </row>
    <row r="9" spans="2:47" ht="19.5" customHeight="1">
      <c r="B9" s="100" t="s">
        <v>117</v>
      </c>
      <c r="C9" s="103" t="e">
        <f>INDEX(Table1,MATCH(C7,F3:F13,0),MATCH(C8,G3:AM3,0)+1)</f>
        <v>#N/A</v>
      </c>
      <c r="D9" s="96"/>
      <c r="E9" s="96"/>
      <c r="F9" s="114" t="s">
        <v>90</v>
      </c>
      <c r="G9" s="115"/>
      <c r="H9" s="116"/>
      <c r="I9" s="117" t="s">
        <v>109</v>
      </c>
      <c r="J9" s="115">
        <v>95</v>
      </c>
      <c r="K9" s="116">
        <v>38</v>
      </c>
      <c r="L9" s="117" t="s">
        <v>109</v>
      </c>
      <c r="M9" s="115">
        <v>142</v>
      </c>
      <c r="N9" s="116">
        <v>57</v>
      </c>
      <c r="O9" s="117" t="s">
        <v>109</v>
      </c>
      <c r="P9" s="115"/>
      <c r="Q9" s="116"/>
      <c r="R9" s="117" t="s">
        <v>109</v>
      </c>
      <c r="S9" s="115">
        <v>210</v>
      </c>
      <c r="T9" s="116">
        <v>84</v>
      </c>
      <c r="U9" s="117">
        <v>23.48</v>
      </c>
      <c r="V9" s="115"/>
      <c r="W9" s="116"/>
      <c r="X9" s="117" t="s">
        <v>109</v>
      </c>
      <c r="Y9" s="115">
        <v>295</v>
      </c>
      <c r="Z9" s="116">
        <v>118</v>
      </c>
      <c r="AA9" s="117" t="s">
        <v>109</v>
      </c>
      <c r="AB9" s="115">
        <v>461</v>
      </c>
      <c r="AC9" s="116">
        <v>184</v>
      </c>
      <c r="AD9" s="117" t="s">
        <v>109</v>
      </c>
      <c r="AE9" s="115"/>
      <c r="AF9" s="116"/>
      <c r="AG9" s="117" t="s">
        <v>109</v>
      </c>
      <c r="AH9" s="115"/>
      <c r="AI9" s="116"/>
      <c r="AJ9" s="117" t="s">
        <v>109</v>
      </c>
      <c r="AK9" s="115">
        <v>1080</v>
      </c>
      <c r="AL9" s="116">
        <v>432</v>
      </c>
      <c r="AM9" s="117" t="s">
        <v>109</v>
      </c>
      <c r="AO9" s="93">
        <v>250</v>
      </c>
      <c r="AQ9" s="102"/>
      <c r="AR9" s="102"/>
      <c r="AS9" s="102"/>
      <c r="AT9" s="102"/>
      <c r="AU9" s="102"/>
    </row>
    <row r="10" spans="2:43" ht="19.5" customHeight="1">
      <c r="B10" s="100" t="s">
        <v>100</v>
      </c>
      <c r="C10" s="132"/>
      <c r="D10" s="96"/>
      <c r="E10" s="96"/>
      <c r="F10" s="114" t="s">
        <v>91</v>
      </c>
      <c r="G10" s="115"/>
      <c r="H10" s="116"/>
      <c r="I10" s="117" t="s">
        <v>109</v>
      </c>
      <c r="J10" s="115">
        <v>95</v>
      </c>
      <c r="K10" s="116">
        <v>38</v>
      </c>
      <c r="L10" s="117" t="s">
        <v>109</v>
      </c>
      <c r="M10" s="115">
        <v>142</v>
      </c>
      <c r="N10" s="116">
        <v>57</v>
      </c>
      <c r="O10" s="117" t="s">
        <v>109</v>
      </c>
      <c r="P10" s="115"/>
      <c r="Q10" s="116"/>
      <c r="R10" s="117" t="s">
        <v>109</v>
      </c>
      <c r="S10" s="115">
        <v>210</v>
      </c>
      <c r="T10" s="116">
        <v>84</v>
      </c>
      <c r="U10" s="117">
        <v>29.44</v>
      </c>
      <c r="V10" s="115"/>
      <c r="W10" s="116"/>
      <c r="X10" s="117" t="s">
        <v>109</v>
      </c>
      <c r="Y10" s="115">
        <v>295</v>
      </c>
      <c r="Z10" s="116">
        <v>118</v>
      </c>
      <c r="AA10" s="117" t="s">
        <v>109</v>
      </c>
      <c r="AB10" s="115">
        <v>461</v>
      </c>
      <c r="AC10" s="116">
        <v>184</v>
      </c>
      <c r="AD10" s="117" t="s">
        <v>109</v>
      </c>
      <c r="AE10" s="115"/>
      <c r="AF10" s="116"/>
      <c r="AG10" s="117" t="s">
        <v>109</v>
      </c>
      <c r="AH10" s="115"/>
      <c r="AI10" s="116"/>
      <c r="AJ10" s="117" t="s">
        <v>109</v>
      </c>
      <c r="AK10" s="115">
        <v>1080</v>
      </c>
      <c r="AL10" s="116">
        <v>432</v>
      </c>
      <c r="AM10" s="117" t="s">
        <v>109</v>
      </c>
      <c r="AO10" s="93">
        <v>400</v>
      </c>
      <c r="AQ10" s="102"/>
    </row>
    <row r="11" spans="2:47" ht="19.5" customHeight="1">
      <c r="B11" s="100" t="s">
        <v>96</v>
      </c>
      <c r="C11" s="90">
        <v>11</v>
      </c>
      <c r="D11" s="96" t="s">
        <v>105</v>
      </c>
      <c r="E11" s="96"/>
      <c r="F11" s="114" t="s">
        <v>92</v>
      </c>
      <c r="G11" s="115"/>
      <c r="H11" s="116"/>
      <c r="I11" s="117" t="s">
        <v>109</v>
      </c>
      <c r="J11" s="115">
        <v>95</v>
      </c>
      <c r="K11" s="116">
        <v>38</v>
      </c>
      <c r="L11" s="117" t="s">
        <v>109</v>
      </c>
      <c r="M11" s="115">
        <v>142</v>
      </c>
      <c r="N11" s="116">
        <v>57</v>
      </c>
      <c r="O11" s="117" t="s">
        <v>109</v>
      </c>
      <c r="P11" s="115"/>
      <c r="Q11" s="116"/>
      <c r="R11" s="117" t="s">
        <v>109</v>
      </c>
      <c r="S11" s="115">
        <v>210</v>
      </c>
      <c r="T11" s="116">
        <v>84</v>
      </c>
      <c r="U11" s="117" t="s">
        <v>109</v>
      </c>
      <c r="V11" s="115"/>
      <c r="W11" s="116"/>
      <c r="X11" s="117" t="s">
        <v>109</v>
      </c>
      <c r="Y11" s="115">
        <v>295</v>
      </c>
      <c r="Z11" s="116">
        <v>118</v>
      </c>
      <c r="AA11" s="117" t="s">
        <v>109</v>
      </c>
      <c r="AB11" s="115">
        <v>461</v>
      </c>
      <c r="AC11" s="116">
        <v>184</v>
      </c>
      <c r="AD11" s="117" t="s">
        <v>109</v>
      </c>
      <c r="AE11" s="115"/>
      <c r="AF11" s="116"/>
      <c r="AG11" s="117" t="s">
        <v>109</v>
      </c>
      <c r="AH11" s="115"/>
      <c r="AI11" s="116"/>
      <c r="AJ11" s="117" t="s">
        <v>109</v>
      </c>
      <c r="AK11" s="115">
        <v>1080</v>
      </c>
      <c r="AL11" s="116">
        <v>432</v>
      </c>
      <c r="AM11" s="117" t="s">
        <v>109</v>
      </c>
      <c r="AO11" s="93">
        <v>700</v>
      </c>
      <c r="AR11" s="102"/>
      <c r="AS11" s="102"/>
      <c r="AT11" s="102"/>
      <c r="AU11" s="102"/>
    </row>
    <row r="12" spans="2:43" ht="19.5" customHeight="1">
      <c r="B12" s="100" t="s">
        <v>125</v>
      </c>
      <c r="C12" s="91">
        <v>120</v>
      </c>
      <c r="D12" s="96" t="s">
        <v>105</v>
      </c>
      <c r="E12" s="96"/>
      <c r="F12" s="114" t="s">
        <v>112</v>
      </c>
      <c r="G12" s="115">
        <v>61</v>
      </c>
      <c r="H12" s="116">
        <v>24</v>
      </c>
      <c r="I12" s="117">
        <v>1.15</v>
      </c>
      <c r="J12" s="115">
        <v>93</v>
      </c>
      <c r="K12" s="118">
        <v>37</v>
      </c>
      <c r="L12" s="117">
        <v>1.5</v>
      </c>
      <c r="M12" s="115">
        <v>116</v>
      </c>
      <c r="N12" s="118">
        <v>46</v>
      </c>
      <c r="O12" s="117">
        <v>2.02</v>
      </c>
      <c r="P12" s="115">
        <v>173</v>
      </c>
      <c r="Q12" s="118">
        <v>69</v>
      </c>
      <c r="R12" s="117">
        <v>2.81</v>
      </c>
      <c r="S12" s="115">
        <v>210</v>
      </c>
      <c r="T12" s="118">
        <v>84</v>
      </c>
      <c r="U12" s="117" t="s">
        <v>109</v>
      </c>
      <c r="V12" s="119">
        <v>240</v>
      </c>
      <c r="W12" s="118">
        <v>96</v>
      </c>
      <c r="X12" s="117">
        <v>3.79</v>
      </c>
      <c r="Y12" s="115">
        <v>302</v>
      </c>
      <c r="Z12" s="118">
        <v>121</v>
      </c>
      <c r="AA12" s="117">
        <v>4.8</v>
      </c>
      <c r="AB12" s="115">
        <v>469</v>
      </c>
      <c r="AC12" s="118">
        <v>188</v>
      </c>
      <c r="AD12" s="117">
        <v>7.35</v>
      </c>
      <c r="AE12" s="115">
        <v>783</v>
      </c>
      <c r="AF12" s="116">
        <v>313</v>
      </c>
      <c r="AG12" s="117" t="s">
        <v>109</v>
      </c>
      <c r="AH12" s="115">
        <v>843</v>
      </c>
      <c r="AI12" s="116">
        <v>337</v>
      </c>
      <c r="AJ12" s="117">
        <v>11.98</v>
      </c>
      <c r="AK12" s="115">
        <v>1090</v>
      </c>
      <c r="AL12" s="116">
        <v>436</v>
      </c>
      <c r="AM12" s="117" t="s">
        <v>109</v>
      </c>
      <c r="AO12" s="93">
        <v>750</v>
      </c>
      <c r="AQ12" s="102"/>
    </row>
    <row r="13" spans="2:41" ht="19.5" customHeight="1">
      <c r="B13" s="100" t="s">
        <v>106</v>
      </c>
      <c r="C13" s="132"/>
      <c r="D13" s="96"/>
      <c r="E13" s="96"/>
      <c r="F13" s="114" t="s">
        <v>93</v>
      </c>
      <c r="G13" s="115">
        <v>63</v>
      </c>
      <c r="H13" s="116">
        <v>25</v>
      </c>
      <c r="I13" s="117" t="s">
        <v>109</v>
      </c>
      <c r="J13" s="115">
        <v>85</v>
      </c>
      <c r="K13" s="116">
        <v>34</v>
      </c>
      <c r="L13" s="117" t="s">
        <v>109</v>
      </c>
      <c r="M13" s="115">
        <v>119</v>
      </c>
      <c r="N13" s="116">
        <v>48</v>
      </c>
      <c r="O13" s="117">
        <v>1.95</v>
      </c>
      <c r="P13" s="115">
        <v>173</v>
      </c>
      <c r="Q13" s="116">
        <v>69</v>
      </c>
      <c r="R13" s="117" t="s">
        <v>109</v>
      </c>
      <c r="S13" s="115">
        <v>197</v>
      </c>
      <c r="T13" s="116">
        <v>79</v>
      </c>
      <c r="U13" s="117">
        <v>3.07</v>
      </c>
      <c r="V13" s="115">
        <v>230</v>
      </c>
      <c r="W13" s="116">
        <v>92</v>
      </c>
      <c r="X13" s="117" t="s">
        <v>109</v>
      </c>
      <c r="Y13" s="115">
        <v>285</v>
      </c>
      <c r="Z13" s="116">
        <v>114</v>
      </c>
      <c r="AA13" s="117">
        <v>4.27</v>
      </c>
      <c r="AB13" s="115">
        <v>450</v>
      </c>
      <c r="AC13" s="116">
        <v>180</v>
      </c>
      <c r="AD13" s="117">
        <v>6.83</v>
      </c>
      <c r="AE13" s="115">
        <v>773</v>
      </c>
      <c r="AF13" s="116">
        <v>309</v>
      </c>
      <c r="AG13" s="117">
        <v>11.58</v>
      </c>
      <c r="AH13" s="115">
        <v>833</v>
      </c>
      <c r="AI13" s="116">
        <v>333</v>
      </c>
      <c r="AJ13" s="117" t="s">
        <v>109</v>
      </c>
      <c r="AK13" s="115">
        <v>1080</v>
      </c>
      <c r="AL13" s="116">
        <v>432</v>
      </c>
      <c r="AM13" s="117">
        <v>16.24</v>
      </c>
      <c r="AO13" s="93">
        <v>1000</v>
      </c>
    </row>
    <row r="14" spans="2:37" ht="19.5" customHeight="1" thickBot="1">
      <c r="B14" s="125" t="s">
        <v>103</v>
      </c>
      <c r="C14" s="123"/>
      <c r="AI14" s="101"/>
      <c r="AJ14" s="101"/>
      <c r="AK14" s="101"/>
    </row>
    <row r="15" spans="2:37" ht="19.5" customHeight="1">
      <c r="B15" s="97" t="s">
        <v>99</v>
      </c>
      <c r="C15" s="124" t="e">
        <f>INDEX(Table1,MATCH(C7,F3:F13,0),MATCH(C8,G3:AM3,0)+2)</f>
        <v>#N/A</v>
      </c>
      <c r="G15" s="93" t="s">
        <v>47</v>
      </c>
      <c r="H15" s="93" t="s">
        <v>24</v>
      </c>
      <c r="AI15" s="102"/>
      <c r="AJ15" s="102"/>
      <c r="AK15" s="102"/>
    </row>
    <row r="16" spans="2:37" ht="19.5" customHeight="1">
      <c r="B16" s="97" t="s">
        <v>100</v>
      </c>
      <c r="C16" s="99">
        <f>C10</f>
        <v>0</v>
      </c>
      <c r="F16" s="93" t="s">
        <v>119</v>
      </c>
      <c r="G16" s="120">
        <v>0.169</v>
      </c>
      <c r="H16" s="120"/>
      <c r="J16" s="120"/>
      <c r="K16" s="121"/>
      <c r="L16" s="121"/>
      <c r="M16" s="121"/>
      <c r="AI16" s="101"/>
      <c r="AJ16" s="101"/>
      <c r="AK16" s="101"/>
    </row>
    <row r="17" spans="2:37" ht="19.5" customHeight="1">
      <c r="B17" s="97" t="s">
        <v>101</v>
      </c>
      <c r="C17" s="104" t="e">
        <f>4.5*C15</f>
        <v>#N/A</v>
      </c>
      <c r="F17" s="121" t="s">
        <v>95</v>
      </c>
      <c r="G17" s="110">
        <v>0.064</v>
      </c>
      <c r="H17" s="110"/>
      <c r="J17" s="110"/>
      <c r="AI17" s="107"/>
      <c r="AJ17" s="107"/>
      <c r="AK17" s="107"/>
    </row>
    <row r="18" spans="2:37" ht="19.5" customHeight="1">
      <c r="B18" s="97" t="s">
        <v>124</v>
      </c>
      <c r="C18" s="111">
        <v>120</v>
      </c>
      <c r="D18" s="93" t="s">
        <v>118</v>
      </c>
      <c r="F18" s="93" t="s">
        <v>120</v>
      </c>
      <c r="G18" s="110">
        <v>0.034</v>
      </c>
      <c r="J18" s="110"/>
      <c r="AI18" s="101"/>
      <c r="AJ18" s="101"/>
      <c r="AK18" s="101"/>
    </row>
    <row r="19" spans="2:37" ht="19.5" customHeight="1">
      <c r="B19" s="97" t="s">
        <v>104</v>
      </c>
      <c r="C19" s="133"/>
      <c r="AI19" s="101"/>
      <c r="AJ19" s="101"/>
      <c r="AK19" s="101"/>
    </row>
    <row r="20" spans="2:37" ht="19.5" customHeight="1" thickBot="1">
      <c r="B20" s="125" t="s">
        <v>97</v>
      </c>
      <c r="C20" s="123"/>
      <c r="F20" s="93" t="s">
        <v>122</v>
      </c>
      <c r="G20" s="110" t="str">
        <f>IF(AND(C5=F16,IF(C5=F16,INDEX(Table1,MATCH(C7,F3:F11,0),MATCH(C8,G3:AM3,0)+3),0)),INDEX(Table1,MATCH(C7,F3:F11,0),MATCH(C8,G3:AM3,0)+3),IF(AND(C5=F17,IF(C5=F17,INDEX(Table1,MATCH(C7,F12:F13,0),MATCH(C8,G3:AM3,0)+3),0)),INDEX(Table1,MATCH(C7,F12:F13,0)+9,MATCH(C8,G3:AM3,0)+3),IF(C5=F18,(G18+C21),"N/A")))</f>
        <v>N/A</v>
      </c>
      <c r="AI20" s="101"/>
      <c r="AJ20" s="101"/>
      <c r="AK20" s="101"/>
    </row>
    <row r="21" spans="2:37" ht="19.5" customHeight="1">
      <c r="B21" s="97" t="s">
        <v>26</v>
      </c>
      <c r="C21" s="134"/>
      <c r="D21" s="96"/>
      <c r="E21" s="96"/>
      <c r="AI21" s="101"/>
      <c r="AJ21" s="101"/>
      <c r="AK21" s="101"/>
    </row>
    <row r="22" spans="2:37" ht="19.5" customHeight="1">
      <c r="B22" s="100" t="s">
        <v>121</v>
      </c>
      <c r="C22" s="105">
        <f>IF(C5=F16,G16,IF(C5=F17,G17,IF(C5=F18,G18,0)))</f>
        <v>0</v>
      </c>
      <c r="D22" s="96"/>
      <c r="E22" s="96"/>
      <c r="AI22" s="101"/>
      <c r="AJ22" s="101"/>
      <c r="AK22" s="101"/>
    </row>
    <row r="23" spans="2:37" ht="19.5" customHeight="1">
      <c r="B23" s="97" t="s">
        <v>107</v>
      </c>
      <c r="C23" s="134"/>
      <c r="D23" s="96"/>
      <c r="E23" s="96"/>
      <c r="AI23" s="101"/>
      <c r="AJ23" s="101"/>
      <c r="AK23" s="101"/>
    </row>
    <row r="24" spans="2:37" ht="19.5" customHeight="1">
      <c r="B24" s="100" t="s">
        <v>108</v>
      </c>
      <c r="C24" s="106" t="e">
        <f>C23*(C8-C15)*C4*C16</f>
        <v>#N/A</v>
      </c>
      <c r="D24" s="96"/>
      <c r="E24" s="96"/>
      <c r="AI24" s="101"/>
      <c r="AJ24" s="101"/>
      <c r="AK24" s="101"/>
    </row>
    <row r="25" spans="2:37" ht="19.5" customHeight="1">
      <c r="B25" s="97" t="s">
        <v>5</v>
      </c>
      <c r="C25" s="92">
        <v>0.04</v>
      </c>
      <c r="D25" s="96" t="s">
        <v>105</v>
      </c>
      <c r="E25" s="96"/>
      <c r="AI25" s="107"/>
      <c r="AJ25" s="107"/>
      <c r="AK25" s="107"/>
    </row>
    <row r="26" spans="2:37" ht="19.5" customHeight="1" thickBot="1">
      <c r="B26" s="125" t="s">
        <v>113</v>
      </c>
      <c r="C26" s="127"/>
      <c r="D26" s="96"/>
      <c r="E26" s="96"/>
      <c r="AI26" s="101"/>
      <c r="AJ26" s="101"/>
      <c r="AK26" s="101"/>
    </row>
    <row r="27" spans="2:43" ht="19.5" customHeight="1">
      <c r="B27" s="100" t="s">
        <v>83</v>
      </c>
      <c r="C27" s="126" t="e">
        <f>((C9*C10)-(C15*C16))/1000</f>
        <v>#N/A</v>
      </c>
      <c r="D27" s="96"/>
      <c r="E27" s="96"/>
      <c r="AI27" s="101"/>
      <c r="AJ27" s="101"/>
      <c r="AK27" s="101"/>
      <c r="AQ27" s="101"/>
    </row>
    <row r="28" spans="2:37" ht="20.25" customHeight="1">
      <c r="B28" s="100" t="s">
        <v>114</v>
      </c>
      <c r="C28" s="112" t="e">
        <f>C27*C4</f>
        <v>#N/A</v>
      </c>
      <c r="D28" s="96"/>
      <c r="E28" s="96"/>
      <c r="AI28" s="101"/>
      <c r="AJ28" s="101"/>
      <c r="AK28" s="101"/>
    </row>
    <row r="29" spans="2:37" ht="20.25" customHeight="1">
      <c r="B29" s="100" t="s">
        <v>115</v>
      </c>
      <c r="C29" s="113" t="e">
        <f>IF(C5=F16,(C10*G20*12+C22*C10*(C9/1000)*C4),IF(C5=F17,(C10*G20*12+C22*C10*(C9/1000)*C4),IF(C5=F18,((C22+C21)*C10*(C9/1000)*C4),"N/A")))-(C16*(C15/1000)*C4*(C21+G18)+C16*200/(C19/C4))</f>
        <v>#VALUE!</v>
      </c>
      <c r="D29" s="96"/>
      <c r="E29" s="96"/>
      <c r="AI29" s="101"/>
      <c r="AJ29" s="101"/>
      <c r="AK29" s="101"/>
    </row>
    <row r="30" spans="2:37" ht="20.25" customHeight="1">
      <c r="B30" s="100" t="s">
        <v>116</v>
      </c>
      <c r="C30" s="113">
        <f>IF(C5=F16,(C16*2300*(C19/C4)/30+C16*(C17+C18-((C9-C15)/1000*C4*C23))),IF(C5=F17,(C16*(C17+C18-((C9-C15)/1000*C4*C23))),IF(C5=F18,(C16*(C17+C18-((C9-C15)/1000*C4*C23))),0)))</f>
        <v>0</v>
      </c>
      <c r="D30" s="96"/>
      <c r="E30" s="96"/>
      <c r="AI30" s="101"/>
      <c r="AJ30" s="101"/>
      <c r="AK30" s="101"/>
    </row>
    <row r="31" spans="2:37" ht="20.25" customHeight="1">
      <c r="B31" s="100" t="s">
        <v>123</v>
      </c>
      <c r="C31" s="128" t="e">
        <f>C30/C29</f>
        <v>#VALUE!</v>
      </c>
      <c r="D31" s="96"/>
      <c r="E31" s="96"/>
      <c r="AI31" s="101"/>
      <c r="AJ31" s="101"/>
      <c r="AK31" s="101"/>
    </row>
    <row r="32" spans="2:37" ht="20.25" customHeight="1" thickBot="1">
      <c r="B32" s="108" t="s">
        <v>127</v>
      </c>
      <c r="C32" s="129" t="e">
        <f>C30-(1-((1+C25)^-(C19/C4)))/C25*C29</f>
        <v>#VALUE!</v>
      </c>
      <c r="D32" s="96"/>
      <c r="E32" s="130"/>
      <c r="AI32" s="101"/>
      <c r="AJ32" s="101"/>
      <c r="AK32" s="101"/>
    </row>
    <row r="33" spans="2:37" ht="15.75" customHeight="1">
      <c r="B33" s="96"/>
      <c r="C33" s="109"/>
      <c r="D33" s="96"/>
      <c r="E33" s="96"/>
      <c r="AI33" s="101"/>
      <c r="AJ33" s="101"/>
      <c r="AK33" s="101"/>
    </row>
    <row r="34" spans="2:5" ht="15.75">
      <c r="B34" s="96"/>
      <c r="C34" s="109"/>
      <c r="D34" s="96"/>
      <c r="E34" s="96"/>
    </row>
    <row r="35" spans="2:5" ht="17.25" customHeight="1">
      <c r="B35" s="96"/>
      <c r="C35" s="96"/>
      <c r="D35" s="96"/>
      <c r="E35" s="96"/>
    </row>
    <row r="36" spans="2:37" ht="15.75">
      <c r="B36" s="96"/>
      <c r="C36" s="96"/>
      <c r="D36" s="96"/>
      <c r="E36" s="96"/>
      <c r="AI36" s="101"/>
      <c r="AJ36" s="101"/>
      <c r="AK36" s="101"/>
    </row>
    <row r="37" spans="2:37" ht="15.75">
      <c r="B37" s="96"/>
      <c r="C37" s="96"/>
      <c r="D37" s="96"/>
      <c r="E37" s="96"/>
      <c r="AI37" s="101"/>
      <c r="AJ37" s="101"/>
      <c r="AK37" s="101"/>
    </row>
    <row r="38" spans="3:37" ht="15.75">
      <c r="C38" s="96"/>
      <c r="D38" s="96"/>
      <c r="E38" s="96"/>
      <c r="AI38" s="101"/>
      <c r="AJ38" s="101"/>
      <c r="AK38" s="101"/>
    </row>
    <row r="39" spans="2:37" ht="15.75">
      <c r="B39" s="96"/>
      <c r="C39" s="96"/>
      <c r="D39" s="96"/>
      <c r="E39" s="96"/>
      <c r="AI39" s="101"/>
      <c r="AJ39" s="101"/>
      <c r="AK39" s="101"/>
    </row>
    <row r="40" spans="3:37" ht="15.75">
      <c r="C40" s="96"/>
      <c r="D40" s="96"/>
      <c r="E40" s="96"/>
      <c r="AI40" s="101"/>
      <c r="AJ40" s="101"/>
      <c r="AK40" s="101"/>
    </row>
    <row r="41" spans="2:37" ht="15.75">
      <c r="B41" s="96"/>
      <c r="C41" s="96"/>
      <c r="D41" s="96"/>
      <c r="E41" s="96"/>
      <c r="AI41" s="101"/>
      <c r="AJ41" s="101"/>
      <c r="AK41" s="101"/>
    </row>
    <row r="42" spans="2:37" ht="15.75">
      <c r="B42" s="96"/>
      <c r="C42" s="96"/>
      <c r="D42" s="96"/>
      <c r="E42" s="96"/>
      <c r="AI42" s="101"/>
      <c r="AJ42" s="101"/>
      <c r="AK42" s="101"/>
    </row>
    <row r="43" spans="2:37" ht="15.75">
      <c r="B43" s="96"/>
      <c r="C43" s="96"/>
      <c r="D43" s="96"/>
      <c r="E43" s="96"/>
      <c r="AI43" s="101"/>
      <c r="AJ43" s="101"/>
      <c r="AK43" s="101"/>
    </row>
    <row r="44" spans="3:5" ht="15.75">
      <c r="C44" s="96"/>
      <c r="D44" s="96"/>
      <c r="E44" s="96"/>
    </row>
    <row r="45" spans="3:5" ht="15.75">
      <c r="C45" s="96"/>
      <c r="D45" s="96"/>
      <c r="E45" s="96"/>
    </row>
    <row r="46" spans="3:5" ht="15.75">
      <c r="C46" s="96"/>
      <c r="D46" s="96"/>
      <c r="E46" s="96"/>
    </row>
  </sheetData>
  <sheetProtection/>
  <mergeCells count="13">
    <mergeCell ref="AB3:AD3"/>
    <mergeCell ref="Y3:AA3"/>
    <mergeCell ref="V3:X3"/>
    <mergeCell ref="B1:C1"/>
    <mergeCell ref="AK3:AM3"/>
    <mergeCell ref="H2:AL2"/>
    <mergeCell ref="J3:L3"/>
    <mergeCell ref="M3:O3"/>
    <mergeCell ref="P3:R3"/>
    <mergeCell ref="S3:U3"/>
    <mergeCell ref="G3:I3"/>
    <mergeCell ref="AH3:AJ3"/>
    <mergeCell ref="AE3:AG3"/>
  </mergeCells>
  <dataValidations count="4">
    <dataValidation type="list" allowBlank="1" showInputMessage="1" showErrorMessage="1" sqref="C13">
      <formula1>"0,1,2,3,4,5,6,7,8,9,10,11,12"</formula1>
    </dataValidation>
    <dataValidation type="list" allowBlank="1" showInputMessage="1" showErrorMessage="1" sqref="C5">
      <formula1>$F$15:$F$18</formula1>
    </dataValidation>
    <dataValidation type="list" allowBlank="1" showInputMessage="1" showErrorMessage="1" sqref="C8">
      <formula1>$AO$2:$AO$13</formula1>
    </dataValidation>
    <dataValidation type="list" allowBlank="1" showInputMessage="1" showErrorMessage="1" sqref="C7">
      <formula1>$F$3:$F$13</formula1>
    </dataValidation>
  </dataValidation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PageLayoutView="0" workbookViewId="0" topLeftCell="G1">
      <selection activeCell="I16" sqref="I16"/>
    </sheetView>
  </sheetViews>
  <sheetFormatPr defaultColWidth="9.140625" defaultRowHeight="15"/>
  <cols>
    <col min="1" max="1" width="32.8515625" style="0" bestFit="1" customWidth="1"/>
    <col min="2" max="4" width="22.28125" style="0" bestFit="1" customWidth="1"/>
    <col min="5" max="5" width="10.140625" style="0" bestFit="1" customWidth="1"/>
    <col min="6" max="6" width="48.421875" style="0" customWidth="1"/>
    <col min="7" max="7" width="24.421875" style="0" bestFit="1" customWidth="1"/>
    <col min="8" max="8" width="24.8515625" style="0" customWidth="1"/>
    <col min="9" max="9" width="17.421875" style="0" bestFit="1" customWidth="1"/>
    <col min="10" max="10" width="12.7109375" style="0" bestFit="1" customWidth="1"/>
    <col min="11" max="11" width="10.57421875" style="0" bestFit="1" customWidth="1"/>
    <col min="12" max="12" width="28.140625" style="0" bestFit="1" customWidth="1"/>
    <col min="13" max="13" width="16.140625" style="0" bestFit="1" customWidth="1"/>
    <col min="14" max="14" width="12.7109375" style="0" bestFit="1" customWidth="1"/>
    <col min="15" max="15" width="21.8515625" style="0" bestFit="1" customWidth="1"/>
    <col min="16" max="16" width="28.140625" style="0" bestFit="1" customWidth="1"/>
    <col min="17" max="17" width="17.421875" style="0" bestFit="1" customWidth="1"/>
    <col min="18" max="18" width="12.7109375" style="0" bestFit="1" customWidth="1"/>
  </cols>
  <sheetData>
    <row r="1" spans="7:18" ht="15">
      <c r="G1" s="140" t="s">
        <v>80</v>
      </c>
      <c r="H1" s="140"/>
      <c r="I1" s="140"/>
      <c r="J1" s="140"/>
      <c r="K1" s="140"/>
      <c r="L1" s="89">
        <v>3550</v>
      </c>
      <c r="M1" s="53" t="s">
        <v>79</v>
      </c>
      <c r="N1" s="19"/>
      <c r="O1" s="19"/>
      <c r="P1" s="88" t="s">
        <v>81</v>
      </c>
      <c r="Q1" s="87">
        <f>(I31+M31+Q34)/(I16+M18+Q21-I30-M30-Q33)</f>
        <v>8.616299091876062</v>
      </c>
      <c r="R1" s="19"/>
    </row>
    <row r="2" spans="1:18" ht="15">
      <c r="A2" s="140" t="s">
        <v>80</v>
      </c>
      <c r="B2" s="140"/>
      <c r="C2" s="140"/>
      <c r="D2" s="86">
        <v>3550</v>
      </c>
      <c r="E2" s="53" t="s">
        <v>79</v>
      </c>
      <c r="G2" s="140" t="s">
        <v>77</v>
      </c>
      <c r="H2" s="140"/>
      <c r="I2" s="140"/>
      <c r="J2" s="140"/>
      <c r="K2" s="140"/>
      <c r="L2" s="85">
        <v>5.5</v>
      </c>
      <c r="M2" s="19" t="s">
        <v>76</v>
      </c>
      <c r="N2" s="19"/>
      <c r="O2" s="19"/>
      <c r="P2" s="83" t="s">
        <v>78</v>
      </c>
      <c r="Q2" s="82">
        <f>-(I31+M31+Q34)+Q37*(I16+M18+Q21-I30-M30-Q33)</f>
        <v>1117366.4729953562</v>
      </c>
      <c r="R2" s="19"/>
    </row>
    <row r="3" spans="1:18" ht="15">
      <c r="A3" s="140" t="s">
        <v>77</v>
      </c>
      <c r="B3" s="140"/>
      <c r="C3" s="140"/>
      <c r="D3" s="85">
        <v>5.5</v>
      </c>
      <c r="E3" s="19" t="s">
        <v>76</v>
      </c>
      <c r="G3" s="140" t="s">
        <v>74</v>
      </c>
      <c r="H3" s="140"/>
      <c r="I3" s="140"/>
      <c r="J3" s="140"/>
      <c r="K3" s="140"/>
      <c r="L3" s="81">
        <v>200</v>
      </c>
      <c r="M3" s="19" t="s">
        <v>73</v>
      </c>
      <c r="N3" s="19"/>
      <c r="O3" s="84"/>
      <c r="P3" s="83" t="s">
        <v>75</v>
      </c>
      <c r="Q3" s="82">
        <f>Q37*(I16+M18+Q21)</f>
        <v>3328614.8157130014</v>
      </c>
      <c r="R3" s="19"/>
    </row>
    <row r="4" spans="1:18" ht="15.75" thickBot="1">
      <c r="A4" s="140" t="s">
        <v>74</v>
      </c>
      <c r="B4" s="140"/>
      <c r="C4" s="140"/>
      <c r="D4" s="81">
        <v>200</v>
      </c>
      <c r="E4" s="19" t="s">
        <v>73</v>
      </c>
      <c r="G4" s="140" t="s">
        <v>69</v>
      </c>
      <c r="H4" s="140"/>
      <c r="I4" s="140"/>
      <c r="J4" s="140"/>
      <c r="K4" s="140"/>
      <c r="L4" s="140"/>
      <c r="M4" s="19"/>
      <c r="N4" s="19"/>
      <c r="O4" s="19"/>
      <c r="P4" s="80" t="s">
        <v>72</v>
      </c>
      <c r="Q4" s="79">
        <f>(I31+M31+Q34)+Q37*(I30+M30+Q33)</f>
        <v>2211248.342717645</v>
      </c>
      <c r="R4" s="19"/>
    </row>
    <row r="5" spans="1:18" ht="15">
      <c r="A5" s="28" t="s">
        <v>71</v>
      </c>
      <c r="B5" s="78">
        <v>30</v>
      </c>
      <c r="C5" s="74" t="s">
        <v>70</v>
      </c>
      <c r="E5" s="19"/>
      <c r="G5" s="140" t="s">
        <v>71</v>
      </c>
      <c r="H5" s="140"/>
      <c r="I5" s="78">
        <v>30</v>
      </c>
      <c r="J5" s="74" t="s">
        <v>70</v>
      </c>
      <c r="K5" s="74"/>
      <c r="L5" s="74"/>
      <c r="M5" s="19"/>
      <c r="N5" s="19"/>
      <c r="O5" s="19"/>
      <c r="R5" s="19"/>
    </row>
    <row r="6" spans="1:18" ht="15">
      <c r="A6" s="140" t="s">
        <v>69</v>
      </c>
      <c r="B6" s="140"/>
      <c r="C6" s="140"/>
      <c r="D6" s="140"/>
      <c r="E6" s="140"/>
      <c r="G6" s="74" t="s">
        <v>68</v>
      </c>
      <c r="H6" s="74"/>
      <c r="I6" s="77">
        <v>0.04</v>
      </c>
      <c r="J6" s="74"/>
      <c r="K6" s="28"/>
      <c r="L6" s="28"/>
      <c r="M6" s="28"/>
      <c r="N6" s="76"/>
      <c r="O6" s="19"/>
      <c r="P6" s="19"/>
      <c r="Q6" s="19"/>
      <c r="R6" s="19"/>
    </row>
    <row r="7" spans="1:18" ht="15">
      <c r="A7" s="142" t="s">
        <v>67</v>
      </c>
      <c r="B7" s="142"/>
      <c r="C7" s="142"/>
      <c r="D7" s="142"/>
      <c r="E7" s="28"/>
      <c r="G7" s="140" t="s">
        <v>66</v>
      </c>
      <c r="H7" s="140"/>
      <c r="I7" s="140"/>
      <c r="J7" s="140"/>
      <c r="K7" s="140"/>
      <c r="L7" s="140"/>
      <c r="M7" s="140"/>
      <c r="N7" s="140"/>
      <c r="O7" s="140"/>
      <c r="P7" s="140"/>
      <c r="Q7" s="28"/>
      <c r="R7" s="19"/>
    </row>
    <row r="8" spans="1:18" ht="15">
      <c r="A8" s="142"/>
      <c r="B8" s="142"/>
      <c r="C8" s="142"/>
      <c r="D8" s="142"/>
      <c r="G8" s="140" t="s">
        <v>65</v>
      </c>
      <c r="H8" s="140"/>
      <c r="I8" s="140"/>
      <c r="J8" s="140"/>
      <c r="K8" s="140"/>
      <c r="L8" s="140"/>
      <c r="M8" s="140"/>
      <c r="N8" s="140"/>
      <c r="O8" s="140"/>
      <c r="P8" s="140"/>
      <c r="Q8" s="19"/>
      <c r="R8" s="19"/>
    </row>
    <row r="9" spans="1:18" ht="15">
      <c r="A9" s="142" t="s">
        <v>65</v>
      </c>
      <c r="B9" s="142"/>
      <c r="C9" s="142"/>
      <c r="D9" s="28"/>
      <c r="E9" s="28"/>
      <c r="G9" s="75"/>
      <c r="H9" s="75"/>
      <c r="I9" s="75"/>
      <c r="J9" s="75"/>
      <c r="K9" s="75"/>
      <c r="L9" s="67"/>
      <c r="M9" s="19"/>
      <c r="N9" s="19"/>
      <c r="O9" s="19"/>
      <c r="P9" s="19"/>
      <c r="Q9" s="19"/>
      <c r="R9" s="19"/>
    </row>
    <row r="10" spans="1:18" ht="15">
      <c r="A10" s="142"/>
      <c r="B10" s="142"/>
      <c r="C10" s="142"/>
      <c r="D10" s="74"/>
      <c r="E10" s="74"/>
      <c r="G10" s="72" t="s">
        <v>64</v>
      </c>
      <c r="H10" s="19"/>
      <c r="I10" s="19"/>
      <c r="J10" s="19"/>
      <c r="K10" s="72" t="s">
        <v>63</v>
      </c>
      <c r="L10" s="34"/>
      <c r="M10" s="34"/>
      <c r="N10" s="34"/>
      <c r="O10" s="72" t="s">
        <v>62</v>
      </c>
      <c r="P10" s="34"/>
      <c r="Q10" s="34"/>
      <c r="R10" s="34"/>
    </row>
    <row r="11" spans="7:18" ht="15">
      <c r="G11" s="19"/>
      <c r="H11" s="28" t="s">
        <v>37</v>
      </c>
      <c r="I11" s="73" t="s">
        <v>60</v>
      </c>
      <c r="J11" s="28"/>
      <c r="K11" s="34"/>
      <c r="L11" s="45" t="s">
        <v>37</v>
      </c>
      <c r="M11" s="73" t="s">
        <v>61</v>
      </c>
      <c r="N11" s="45"/>
      <c r="O11" s="34"/>
      <c r="P11" s="45" t="s">
        <v>37</v>
      </c>
      <c r="Q11" s="73" t="s">
        <v>60</v>
      </c>
      <c r="R11" s="45"/>
    </row>
    <row r="12" spans="1:18" ht="15">
      <c r="A12" s="72" t="s">
        <v>59</v>
      </c>
      <c r="B12" s="71" t="s">
        <v>58</v>
      </c>
      <c r="C12" s="71" t="s">
        <v>57</v>
      </c>
      <c r="D12" s="71" t="s">
        <v>56</v>
      </c>
      <c r="E12" s="70" t="s">
        <v>55</v>
      </c>
      <c r="G12" s="19"/>
      <c r="H12" s="19" t="s">
        <v>34</v>
      </c>
      <c r="I12" s="58">
        <v>116</v>
      </c>
      <c r="J12" s="19" t="s">
        <v>35</v>
      </c>
      <c r="K12" s="34"/>
      <c r="L12" s="34" t="s">
        <v>34</v>
      </c>
      <c r="M12" s="56">
        <v>300</v>
      </c>
      <c r="N12" s="34" t="s">
        <v>35</v>
      </c>
      <c r="O12" s="34"/>
      <c r="P12" s="34" t="s">
        <v>34</v>
      </c>
      <c r="Q12" s="56">
        <v>300</v>
      </c>
      <c r="R12" s="34" t="s">
        <v>35</v>
      </c>
    </row>
    <row r="13" spans="1:18" ht="15">
      <c r="A13" s="28" t="s">
        <v>54</v>
      </c>
      <c r="B13" s="40" t="str">
        <f>Sheet2!I11</f>
        <v>HPS, Underground</v>
      </c>
      <c r="C13" s="40" t="str">
        <f>Sheet2!M11</f>
        <v>HPS, Ornamental</v>
      </c>
      <c r="D13" s="40" t="str">
        <f>Sheet2!Q11</f>
        <v>HPS, Underground</v>
      </c>
      <c r="E13" s="19"/>
      <c r="G13" s="19"/>
      <c r="H13" s="19" t="s">
        <v>27</v>
      </c>
      <c r="I13" s="58">
        <v>600</v>
      </c>
      <c r="J13" s="67"/>
      <c r="K13" s="34"/>
      <c r="L13" s="34" t="s">
        <v>27</v>
      </c>
      <c r="M13" s="56">
        <v>300</v>
      </c>
      <c r="N13" s="63"/>
      <c r="O13" s="34"/>
      <c r="P13" s="34" t="s">
        <v>27</v>
      </c>
      <c r="Q13" s="56">
        <v>250</v>
      </c>
      <c r="R13" s="63"/>
    </row>
    <row r="14" spans="1:18" ht="15">
      <c r="A14" s="19" t="s">
        <v>30</v>
      </c>
      <c r="B14" s="40">
        <f>Sheet2!I12</f>
        <v>116</v>
      </c>
      <c r="C14" s="40">
        <f>Sheet2!M12</f>
        <v>300</v>
      </c>
      <c r="D14" s="40">
        <f>Sheet2!Q12</f>
        <v>300</v>
      </c>
      <c r="E14" s="19"/>
      <c r="G14" s="19"/>
      <c r="H14" s="19" t="s">
        <v>51</v>
      </c>
      <c r="I14" s="69">
        <v>17.02</v>
      </c>
      <c r="J14" s="19" t="s">
        <v>53</v>
      </c>
      <c r="K14" s="34"/>
      <c r="L14" s="42" t="s">
        <v>52</v>
      </c>
      <c r="M14" s="66">
        <v>10.94</v>
      </c>
      <c r="N14" s="63"/>
      <c r="O14" s="34"/>
      <c r="P14" s="42" t="s">
        <v>52</v>
      </c>
      <c r="Q14" s="66">
        <v>10.94</v>
      </c>
      <c r="R14" s="19"/>
    </row>
    <row r="15" spans="1:18" ht="15.75" thickBot="1">
      <c r="A15" s="19" t="s">
        <v>27</v>
      </c>
      <c r="B15" s="40">
        <f>Sheet2!I13</f>
        <v>600</v>
      </c>
      <c r="C15" s="40">
        <f>Sheet2!M13</f>
        <v>300</v>
      </c>
      <c r="D15" s="40">
        <f>Sheet2!Q13</f>
        <v>250</v>
      </c>
      <c r="E15" s="19"/>
      <c r="G15" s="19"/>
      <c r="H15" s="19" t="s">
        <v>47</v>
      </c>
      <c r="I15" s="68">
        <v>0.169</v>
      </c>
      <c r="J15" s="53" t="s">
        <v>23</v>
      </c>
      <c r="K15" s="34"/>
      <c r="L15" s="42" t="s">
        <v>49</v>
      </c>
      <c r="M15" s="47">
        <v>21000</v>
      </c>
      <c r="N15" s="19" t="s">
        <v>28</v>
      </c>
      <c r="O15" s="34"/>
      <c r="P15" s="42" t="s">
        <v>48</v>
      </c>
      <c r="Q15" s="51">
        <v>110</v>
      </c>
      <c r="R15" s="19"/>
    </row>
    <row r="16" spans="1:18" ht="15.75" thickBot="1">
      <c r="A16" s="30" t="s">
        <v>52</v>
      </c>
      <c r="B16" s="40" t="s">
        <v>18</v>
      </c>
      <c r="C16" s="64">
        <f>Sheet2!M14</f>
        <v>10.94</v>
      </c>
      <c r="D16" s="64">
        <f>Sheet2!Q14</f>
        <v>10.94</v>
      </c>
      <c r="E16" s="19"/>
      <c r="G16" s="19"/>
      <c r="H16" s="26" t="s">
        <v>15</v>
      </c>
      <c r="I16" s="37">
        <f>I13*I14*12+I15*I13*(I12/1000)*L1</f>
        <v>164300.52000000002</v>
      </c>
      <c r="J16" s="19"/>
      <c r="K16" s="34"/>
      <c r="L16" s="34" t="s">
        <v>51</v>
      </c>
      <c r="M16" s="66">
        <v>4.8</v>
      </c>
      <c r="N16" s="19" t="s">
        <v>50</v>
      </c>
      <c r="O16" s="34"/>
      <c r="P16" s="42" t="s">
        <v>49</v>
      </c>
      <c r="Q16" s="47">
        <v>21000</v>
      </c>
      <c r="R16" s="19" t="s">
        <v>28</v>
      </c>
    </row>
    <row r="17" spans="1:18" ht="15.75" thickBot="1">
      <c r="A17" s="42" t="s">
        <v>48</v>
      </c>
      <c r="B17" s="40" t="s">
        <v>18</v>
      </c>
      <c r="C17" s="40" t="s">
        <v>18</v>
      </c>
      <c r="D17" s="41">
        <f>Sheet2!Q15</f>
        <v>110</v>
      </c>
      <c r="E17" s="19"/>
      <c r="G17" s="19"/>
      <c r="H17" s="19"/>
      <c r="I17" s="67"/>
      <c r="J17" s="67"/>
      <c r="K17" s="34"/>
      <c r="L17" s="34" t="s">
        <v>47</v>
      </c>
      <c r="M17" s="65">
        <v>0.064</v>
      </c>
      <c r="N17" s="36" t="s">
        <v>23</v>
      </c>
      <c r="O17" s="34"/>
      <c r="P17" s="42" t="s">
        <v>46</v>
      </c>
      <c r="Q17" s="66">
        <v>8.65</v>
      </c>
      <c r="R17" s="19" t="s">
        <v>45</v>
      </c>
    </row>
    <row r="18" spans="1:18" ht="15.75" thickBot="1">
      <c r="A18" s="30" t="s">
        <v>44</v>
      </c>
      <c r="B18" s="40" t="s">
        <v>18</v>
      </c>
      <c r="C18" s="38">
        <f>Sheet2!M15</f>
        <v>21000</v>
      </c>
      <c r="D18" s="38">
        <f>Sheet2!Q16</f>
        <v>21000</v>
      </c>
      <c r="E18" s="19"/>
      <c r="G18" s="143" t="s">
        <v>43</v>
      </c>
      <c r="H18" s="143"/>
      <c r="I18" s="19"/>
      <c r="J18" s="19"/>
      <c r="K18" s="19"/>
      <c r="L18" s="26" t="s">
        <v>15</v>
      </c>
      <c r="M18" s="37">
        <f>M13*M16*12+M17*M13*(M12/1000)*L1+M14*M13/(M15/L1)</f>
        <v>38282.81428571429</v>
      </c>
      <c r="N18" s="34"/>
      <c r="O18" s="19"/>
      <c r="P18" s="42" t="s">
        <v>42</v>
      </c>
      <c r="Q18" s="56">
        <v>15</v>
      </c>
      <c r="R18" s="19"/>
    </row>
    <row r="19" spans="1:18" ht="15">
      <c r="A19" s="42" t="s">
        <v>42</v>
      </c>
      <c r="B19" s="40" t="s">
        <v>18</v>
      </c>
      <c r="C19" s="40" t="s">
        <v>18</v>
      </c>
      <c r="D19" s="38">
        <f>Sheet2!Q18</f>
        <v>15</v>
      </c>
      <c r="E19" s="19"/>
      <c r="G19" s="19"/>
      <c r="H19" s="28" t="s">
        <v>37</v>
      </c>
      <c r="I19" s="58" t="s">
        <v>36</v>
      </c>
      <c r="J19" s="19"/>
      <c r="K19" s="34"/>
      <c r="L19" s="34"/>
      <c r="M19" s="63"/>
      <c r="N19" s="63"/>
      <c r="O19" s="34"/>
      <c r="P19" s="34" t="s">
        <v>26</v>
      </c>
      <c r="Q19" s="46">
        <v>0.04589</v>
      </c>
      <c r="R19" s="34" t="s">
        <v>23</v>
      </c>
    </row>
    <row r="20" spans="1:18" ht="15.75" thickBot="1">
      <c r="A20" s="19" t="s">
        <v>12</v>
      </c>
      <c r="B20" s="40" t="s">
        <v>18</v>
      </c>
      <c r="C20" s="40" t="s">
        <v>18</v>
      </c>
      <c r="D20" s="35">
        <f>Sheet2!Q19</f>
        <v>0.04589</v>
      </c>
      <c r="E20" s="19"/>
      <c r="G20" s="19"/>
      <c r="H20" s="19" t="s">
        <v>34</v>
      </c>
      <c r="I20" s="58">
        <f>0.4*I12</f>
        <v>46.400000000000006</v>
      </c>
      <c r="J20" s="19" t="s">
        <v>35</v>
      </c>
      <c r="K20" s="144" t="s">
        <v>33</v>
      </c>
      <c r="L20" s="143"/>
      <c r="M20" s="34"/>
      <c r="N20" s="34"/>
      <c r="O20" s="19"/>
      <c r="P20" s="34" t="s">
        <v>24</v>
      </c>
      <c r="Q20" s="65">
        <v>0.034</v>
      </c>
      <c r="R20" s="34" t="s">
        <v>23</v>
      </c>
    </row>
    <row r="21" spans="1:18" ht="15.75" thickBot="1">
      <c r="A21" s="19" t="s">
        <v>41</v>
      </c>
      <c r="B21" s="64">
        <f>Sheet2!I14</f>
        <v>17.02</v>
      </c>
      <c r="C21" s="64">
        <f>Sheet2!M16</f>
        <v>4.8</v>
      </c>
      <c r="D21" s="35" t="s">
        <v>18</v>
      </c>
      <c r="E21" s="19"/>
      <c r="G21" s="19"/>
      <c r="H21" s="19" t="s">
        <v>27</v>
      </c>
      <c r="I21" s="58">
        <v>600</v>
      </c>
      <c r="J21" s="19"/>
      <c r="K21" s="34"/>
      <c r="L21" s="45" t="s">
        <v>37</v>
      </c>
      <c r="M21" s="58" t="s">
        <v>40</v>
      </c>
      <c r="N21" s="34"/>
      <c r="O21" s="34"/>
      <c r="P21" s="26" t="s">
        <v>15</v>
      </c>
      <c r="Q21" s="37">
        <f>Q13*Q12/1000*(Q19+Q20)*L1+Q18*Q17*12+Q13*(Q14+Q15)/(Q16/L1)</f>
        <v>27938.867261904765</v>
      </c>
      <c r="R21" s="63"/>
    </row>
    <row r="22" spans="1:18" ht="15">
      <c r="A22" s="30" t="s">
        <v>39</v>
      </c>
      <c r="B22" s="64" t="s">
        <v>18</v>
      </c>
      <c r="C22" s="64" t="s">
        <v>18</v>
      </c>
      <c r="D22" s="64">
        <f>Sheet2!Q17</f>
        <v>8.65</v>
      </c>
      <c r="E22" s="19"/>
      <c r="G22" s="19"/>
      <c r="H22" s="39" t="s">
        <v>25</v>
      </c>
      <c r="I22" s="62">
        <f>L2*I20</f>
        <v>255.20000000000005</v>
      </c>
      <c r="J22" s="19"/>
      <c r="K22" s="34"/>
      <c r="L22" s="34" t="s">
        <v>34</v>
      </c>
      <c r="M22" s="58">
        <f>0.4*M12</f>
        <v>120</v>
      </c>
      <c r="N22" s="34" t="s">
        <v>35</v>
      </c>
      <c r="O22" s="19"/>
      <c r="P22" s="19"/>
      <c r="Q22" s="63"/>
      <c r="R22" s="34"/>
    </row>
    <row r="23" spans="1:18" ht="15">
      <c r="A23" s="19" t="s">
        <v>38</v>
      </c>
      <c r="B23" s="33">
        <f>Sheet2!I15</f>
        <v>0.169</v>
      </c>
      <c r="C23" s="33">
        <f>Sheet2!M17</f>
        <v>0.064</v>
      </c>
      <c r="D23" s="40" t="s">
        <v>18</v>
      </c>
      <c r="E23" s="19"/>
      <c r="G23" s="28"/>
      <c r="H23" s="39" t="s">
        <v>22</v>
      </c>
      <c r="I23" s="62">
        <v>110</v>
      </c>
      <c r="J23" s="19"/>
      <c r="K23" s="45"/>
      <c r="L23" s="34" t="s">
        <v>27</v>
      </c>
      <c r="M23" s="56">
        <v>300</v>
      </c>
      <c r="N23" s="34"/>
      <c r="O23" s="144" t="s">
        <v>33</v>
      </c>
      <c r="P23" s="143"/>
      <c r="Q23" s="34"/>
      <c r="R23" s="34"/>
    </row>
    <row r="24" spans="1:18" ht="15.75" thickBot="1">
      <c r="A24" s="19" t="s">
        <v>10</v>
      </c>
      <c r="B24" s="61" t="s">
        <v>18</v>
      </c>
      <c r="C24" s="61" t="s">
        <v>18</v>
      </c>
      <c r="D24" s="60">
        <f>Sheet2!Q20</f>
        <v>0.034</v>
      </c>
      <c r="E24" s="59"/>
      <c r="G24" s="28"/>
      <c r="H24" s="142" t="s">
        <v>19</v>
      </c>
      <c r="I24" s="145">
        <v>2300</v>
      </c>
      <c r="J24" s="19"/>
      <c r="K24" s="45"/>
      <c r="L24" s="48" t="s">
        <v>25</v>
      </c>
      <c r="M24" s="51">
        <f>L2*M22</f>
        <v>660</v>
      </c>
      <c r="N24" s="34"/>
      <c r="O24" s="45"/>
      <c r="P24" s="45" t="s">
        <v>37</v>
      </c>
      <c r="Q24" s="58" t="s">
        <v>36</v>
      </c>
      <c r="R24" s="34" t="s">
        <v>35</v>
      </c>
    </row>
    <row r="25" spans="1:18" ht="15.75" thickBot="1">
      <c r="A25" s="26" t="s">
        <v>8</v>
      </c>
      <c r="B25" s="22">
        <f>Sheet2!I16</f>
        <v>164300.52000000002</v>
      </c>
      <c r="C25" s="22">
        <f>Sheet2!M18</f>
        <v>38282.81428571429</v>
      </c>
      <c r="D25" s="22">
        <f>Sheet2!Q13*Sheet2!Q12/1000*(Sheet2!Q19+Sheet2!Q20)*Sheet2!L1+Sheet2!Q18*Sheet2!Q17*12+Sheet2!Q13*(Sheet2!Q14+Sheet2!Q15)/(Sheet2!Q16/Sheet2!L1)</f>
        <v>27938.867261904765</v>
      </c>
      <c r="E25" s="21">
        <f>SUM(B25:D25)</f>
        <v>230522.20154761907</v>
      </c>
      <c r="G25" s="28"/>
      <c r="H25" s="142"/>
      <c r="I25" s="145"/>
      <c r="J25" s="19"/>
      <c r="K25" s="45"/>
      <c r="L25" s="48" t="s">
        <v>31</v>
      </c>
      <c r="M25" s="51">
        <v>110</v>
      </c>
      <c r="N25" s="34"/>
      <c r="O25" s="45"/>
      <c r="P25" s="34" t="s">
        <v>34</v>
      </c>
      <c r="Q25" s="58">
        <f>0.4*Q12</f>
        <v>120</v>
      </c>
      <c r="R25" s="34"/>
    </row>
    <row r="26" spans="2:18" ht="15">
      <c r="B26" s="15"/>
      <c r="C26" s="15"/>
      <c r="D26" s="15"/>
      <c r="E26" s="14"/>
      <c r="G26" s="28"/>
      <c r="H26" s="39" t="s">
        <v>29</v>
      </c>
      <c r="I26" s="57">
        <v>78000</v>
      </c>
      <c r="J26" s="19" t="s">
        <v>28</v>
      </c>
      <c r="K26" s="45"/>
      <c r="L26" s="48" t="s">
        <v>29</v>
      </c>
      <c r="M26" s="47">
        <v>78000</v>
      </c>
      <c r="N26" s="34" t="s">
        <v>28</v>
      </c>
      <c r="O26" s="45"/>
      <c r="P26" s="34" t="s">
        <v>27</v>
      </c>
      <c r="Q26" s="56">
        <v>250</v>
      </c>
      <c r="R26" s="34"/>
    </row>
    <row r="27" spans="1:18" ht="15">
      <c r="A27" s="16" t="s">
        <v>33</v>
      </c>
      <c r="B27" s="15"/>
      <c r="C27" s="15"/>
      <c r="D27" s="15"/>
      <c r="E27" s="14"/>
      <c r="G27" s="28"/>
      <c r="H27" s="19" t="s">
        <v>26</v>
      </c>
      <c r="I27" s="55">
        <v>0.04589</v>
      </c>
      <c r="J27" s="19" t="s">
        <v>23</v>
      </c>
      <c r="K27" s="45"/>
      <c r="L27" s="34" t="s">
        <v>26</v>
      </c>
      <c r="M27" s="46">
        <v>0.04589</v>
      </c>
      <c r="N27" s="34" t="s">
        <v>23</v>
      </c>
      <c r="O27" s="45"/>
      <c r="P27" s="48" t="s">
        <v>25</v>
      </c>
      <c r="Q27" s="51">
        <f>L2*Q25</f>
        <v>660</v>
      </c>
      <c r="R27" s="34"/>
    </row>
    <row r="28" spans="1:17" ht="15">
      <c r="A28" s="28" t="s">
        <v>32</v>
      </c>
      <c r="B28" s="40" t="str">
        <f>Sheet2!I19</f>
        <v>LED, Underground</v>
      </c>
      <c r="C28" s="40" t="str">
        <f>Sheet2!M21</f>
        <v>LED, Ornamental</v>
      </c>
      <c r="D28" s="40" t="str">
        <f>Sheet2!Q24</f>
        <v>LED, Underground</v>
      </c>
      <c r="E28" s="32"/>
      <c r="G28" s="28"/>
      <c r="H28" s="19" t="s">
        <v>24</v>
      </c>
      <c r="I28" s="54">
        <v>0.034</v>
      </c>
      <c r="J28" s="53" t="s">
        <v>23</v>
      </c>
      <c r="K28" s="45"/>
      <c r="L28" s="34" t="s">
        <v>24</v>
      </c>
      <c r="M28" s="52">
        <v>0.034</v>
      </c>
      <c r="N28" s="36" t="s">
        <v>23</v>
      </c>
      <c r="O28" s="45"/>
      <c r="P28" s="48" t="s">
        <v>31</v>
      </c>
      <c r="Q28" s="51">
        <v>110</v>
      </c>
    </row>
    <row r="29" spans="1:18" ht="15.75" thickBot="1">
      <c r="A29" s="19" t="s">
        <v>30</v>
      </c>
      <c r="B29" s="40">
        <f>Sheet2!I20</f>
        <v>46.400000000000006</v>
      </c>
      <c r="C29" s="40">
        <f>Sheet2!M22</f>
        <v>120</v>
      </c>
      <c r="D29" s="40">
        <f>Sheet2!Q25</f>
        <v>120</v>
      </c>
      <c r="E29" s="32"/>
      <c r="G29" s="28"/>
      <c r="H29" s="30" t="s">
        <v>21</v>
      </c>
      <c r="I29" s="43">
        <v>0</v>
      </c>
      <c r="J29" s="50" t="s">
        <v>20</v>
      </c>
      <c r="K29" s="45"/>
      <c r="L29" s="42" t="s">
        <v>21</v>
      </c>
      <c r="M29" s="43">
        <v>0</v>
      </c>
      <c r="N29" s="49" t="s">
        <v>20</v>
      </c>
      <c r="O29" s="45"/>
      <c r="P29" s="48" t="s">
        <v>29</v>
      </c>
      <c r="Q29" s="47">
        <v>78000</v>
      </c>
      <c r="R29" s="34" t="s">
        <v>28</v>
      </c>
    </row>
    <row r="30" spans="1:18" ht="15.75" thickBot="1">
      <c r="A30" s="19" t="s">
        <v>27</v>
      </c>
      <c r="B30" s="40">
        <f>Sheet2!I21</f>
        <v>600</v>
      </c>
      <c r="C30" s="40">
        <f>Sheet2!M23</f>
        <v>300</v>
      </c>
      <c r="D30" s="40">
        <f>Sheet2!Q26</f>
        <v>250</v>
      </c>
      <c r="E30" s="32"/>
      <c r="G30" s="28"/>
      <c r="H30" s="26" t="s">
        <v>15</v>
      </c>
      <c r="I30" s="37">
        <f>I21*I20/1000*L1*(I27+I28)+L3*I21/(I26/L1)</f>
        <v>13357.226941538464</v>
      </c>
      <c r="J30" s="19"/>
      <c r="K30" s="45"/>
      <c r="L30" s="26" t="s">
        <v>15</v>
      </c>
      <c r="M30" s="37">
        <f>M23*M22/1000*$L$1*(M27+M28)+$L$3*M23/(M26/$L$1)</f>
        <v>12940.711230769231</v>
      </c>
      <c r="N30" s="34"/>
      <c r="O30" s="45"/>
      <c r="P30" s="34" t="s">
        <v>26</v>
      </c>
      <c r="Q30" s="46">
        <v>0.04589</v>
      </c>
      <c r="R30" s="34" t="s">
        <v>23</v>
      </c>
    </row>
    <row r="31" spans="1:18" ht="15.75" thickBot="1">
      <c r="A31" s="39" t="s">
        <v>25</v>
      </c>
      <c r="B31" s="41">
        <f>Sheet2!I22</f>
        <v>255.20000000000005</v>
      </c>
      <c r="C31" s="41">
        <f>Sheet2!M24</f>
        <v>660</v>
      </c>
      <c r="D31" s="41">
        <f>Sheet2!Q27</f>
        <v>660</v>
      </c>
      <c r="E31" s="32"/>
      <c r="G31" s="28"/>
      <c r="H31" s="23" t="s">
        <v>13</v>
      </c>
      <c r="I31" s="37">
        <f>I21*(I24*((I26/L1)/I5)+I22+I23)-((I12-I20)*I29*L1*I21)</f>
        <v>1229824.2253521127</v>
      </c>
      <c r="J31" s="19"/>
      <c r="K31" s="45"/>
      <c r="L31" s="23" t="s">
        <v>13</v>
      </c>
      <c r="M31" s="37">
        <f>M23*(M24+M25)-((M12-M22)*M29*L1*M23)</f>
        <v>231000</v>
      </c>
      <c r="P31" s="34" t="s">
        <v>24</v>
      </c>
      <c r="Q31" s="44">
        <v>0.034</v>
      </c>
      <c r="R31" s="42" t="s">
        <v>23</v>
      </c>
    </row>
    <row r="32" spans="1:18" ht="15.75" thickBot="1">
      <c r="A32" s="39" t="s">
        <v>22</v>
      </c>
      <c r="B32" s="41">
        <f>Sheet2!I23</f>
        <v>110</v>
      </c>
      <c r="C32" s="41">
        <f>Sheet2!M25</f>
        <v>110</v>
      </c>
      <c r="D32" s="41">
        <f>Sheet2!Q28</f>
        <v>110</v>
      </c>
      <c r="E32" s="32"/>
      <c r="P32" s="42" t="s">
        <v>21</v>
      </c>
      <c r="Q32" s="43">
        <v>0</v>
      </c>
      <c r="R32" s="42" t="s">
        <v>20</v>
      </c>
    </row>
    <row r="33" spans="1:17" ht="15.75" thickBot="1">
      <c r="A33" s="28" t="s">
        <v>19</v>
      </c>
      <c r="B33" s="41">
        <f>Sheet2!I24</f>
        <v>2300</v>
      </c>
      <c r="C33" s="40" t="s">
        <v>18</v>
      </c>
      <c r="D33" s="40" t="s">
        <v>18</v>
      </c>
      <c r="E33" s="32"/>
      <c r="G33" s="141" t="s">
        <v>17</v>
      </c>
      <c r="H33" s="141"/>
      <c r="K33" s="141" t="s">
        <v>16</v>
      </c>
      <c r="L33" s="141"/>
      <c r="N33" s="19"/>
      <c r="O33" s="19"/>
      <c r="P33" s="26" t="s">
        <v>15</v>
      </c>
      <c r="Q33" s="37">
        <f>Q26*Q25/1000*$L$1*(Q30+Q31)+$L$3*Q26/(Q29/$L$1)+Q18*Q17*12</f>
        <v>12340.926025641025</v>
      </c>
    </row>
    <row r="34" spans="1:18" ht="15.75" thickBot="1">
      <c r="A34" s="39" t="s">
        <v>14</v>
      </c>
      <c r="B34" s="38">
        <f>Sheet2!I26</f>
        <v>78000</v>
      </c>
      <c r="C34" s="38">
        <f>Sheet2!M26</f>
        <v>78000</v>
      </c>
      <c r="D34" s="38">
        <f>Sheet2!Q29</f>
        <v>78000</v>
      </c>
      <c r="E34" s="32"/>
      <c r="G34" s="19"/>
      <c r="H34" s="19" t="s">
        <v>4</v>
      </c>
      <c r="I34" s="27">
        <f>(1-(1+$I$6)^-(I26/$L$1))/$I$6</f>
        <v>14.439454392532374</v>
      </c>
      <c r="J34" s="19"/>
      <c r="K34" s="19"/>
      <c r="L34" s="19" t="s">
        <v>4</v>
      </c>
      <c r="M34" s="27">
        <f>(1-(1+$I$6)^-(M26/$L$1))/$I$6</f>
        <v>14.439454392532374</v>
      </c>
      <c r="N34" s="19"/>
      <c r="O34" s="19"/>
      <c r="P34" s="23" t="s">
        <v>13</v>
      </c>
      <c r="Q34" s="37">
        <f>Q26*(Q27+Q28)-((M12-M22)*M29*L1*M23)</f>
        <v>192500</v>
      </c>
      <c r="R34" s="36"/>
    </row>
    <row r="35" spans="1:18" ht="15">
      <c r="A35" s="19" t="s">
        <v>12</v>
      </c>
      <c r="B35" s="35">
        <f>Sheet2!I27</f>
        <v>0.04589</v>
      </c>
      <c r="C35" s="35">
        <f>Sheet2!M27</f>
        <v>0.04589</v>
      </c>
      <c r="D35" s="35">
        <f>Sheet2!Q30</f>
        <v>0.04589</v>
      </c>
      <c r="E35" s="32"/>
      <c r="G35" s="19"/>
      <c r="H35" s="9" t="s">
        <v>3</v>
      </c>
      <c r="I35" s="24">
        <f>I31/(I16-I30)</f>
        <v>8.147591061735957</v>
      </c>
      <c r="J35" s="19"/>
      <c r="K35" s="19"/>
      <c r="L35" s="9" t="s">
        <v>3</v>
      </c>
      <c r="M35" s="24">
        <f>M31/(M18-M30)</f>
        <v>9.115265591776705</v>
      </c>
      <c r="N35" s="19"/>
      <c r="O35" s="31" t="s">
        <v>11</v>
      </c>
      <c r="R35" s="34"/>
    </row>
    <row r="36" spans="1:18" ht="15">
      <c r="A36" s="19" t="s">
        <v>10</v>
      </c>
      <c r="B36" s="33">
        <f>Sheet2!I28</f>
        <v>0.034</v>
      </c>
      <c r="C36" s="33">
        <f>Sheet2!M28</f>
        <v>0.034</v>
      </c>
      <c r="D36" s="33">
        <f>Sheet2!Q31</f>
        <v>0.034</v>
      </c>
      <c r="E36" s="32"/>
      <c r="G36" s="28"/>
      <c r="H36" s="6" t="s">
        <v>2</v>
      </c>
      <c r="I36" s="20">
        <f>-I31+I34*(I16-I30)</f>
        <v>949714.5706241918</v>
      </c>
      <c r="J36" s="19"/>
      <c r="K36" s="28"/>
      <c r="L36" s="6" t="s">
        <v>2</v>
      </c>
      <c r="M36" s="20">
        <f>-M31+M34*(M18-M30)</f>
        <v>134926.1412727345</v>
      </c>
      <c r="N36" s="19"/>
      <c r="O36" s="19"/>
      <c r="P36" s="31"/>
      <c r="R36" s="19"/>
    </row>
    <row r="37" spans="1:18" ht="15.75" thickBot="1">
      <c r="A37" s="30" t="s">
        <v>9</v>
      </c>
      <c r="B37" s="29">
        <f>Sheet2!I29</f>
        <v>0</v>
      </c>
      <c r="C37" s="29">
        <f>Sheet2!M29</f>
        <v>0</v>
      </c>
      <c r="D37" s="29">
        <f>Sheet2!Q32</f>
        <v>0</v>
      </c>
      <c r="G37" s="28"/>
      <c r="H37" s="6" t="s">
        <v>1</v>
      </c>
      <c r="I37" s="20">
        <f>I34*I16</f>
        <v>2372409.8652093536</v>
      </c>
      <c r="J37" s="19"/>
      <c r="K37" s="28"/>
      <c r="L37" s="6" t="s">
        <v>1</v>
      </c>
      <c r="M37" s="20">
        <f>M34*M18</f>
        <v>552782.9508963584</v>
      </c>
      <c r="N37" s="17"/>
      <c r="O37" s="19"/>
      <c r="P37" s="19" t="s">
        <v>4</v>
      </c>
      <c r="Q37" s="27">
        <f>(1-(1+$I$6)^-(Q29/$L$1))/$I$6</f>
        <v>14.439454392532374</v>
      </c>
      <c r="R37" s="19"/>
    </row>
    <row r="38" spans="1:18" ht="15.75" thickBot="1">
      <c r="A38" s="26" t="s">
        <v>8</v>
      </c>
      <c r="B38" s="22">
        <f>Sheet2!I30</f>
        <v>13357.226941538464</v>
      </c>
      <c r="C38" s="22">
        <f>Sheet2!M30</f>
        <v>12940.711230769231</v>
      </c>
      <c r="D38" s="22">
        <f>Sheet2!Q33</f>
        <v>12340.926025641025</v>
      </c>
      <c r="E38" s="21">
        <f>SUM(B38:D38)</f>
        <v>38638.86419794872</v>
      </c>
      <c r="G38" s="25"/>
      <c r="H38" s="3" t="s">
        <v>0</v>
      </c>
      <c r="I38" s="18">
        <f>I31+I34*I30</f>
        <v>1422695.294585162</v>
      </c>
      <c r="J38" s="19"/>
      <c r="K38" s="19"/>
      <c r="L38" s="3" t="s">
        <v>0</v>
      </c>
      <c r="M38" s="18">
        <f>M31+M34*M30</f>
        <v>417856.8096236238</v>
      </c>
      <c r="N38" s="19"/>
      <c r="O38" s="19"/>
      <c r="P38" s="9" t="s">
        <v>3</v>
      </c>
      <c r="Q38" s="24">
        <f>Q34/(Q21-Q33)</f>
        <v>12.341372305753767</v>
      </c>
      <c r="R38" s="19"/>
    </row>
    <row r="39" spans="1:18" ht="15.75" thickBot="1">
      <c r="A39" s="23" t="s">
        <v>7</v>
      </c>
      <c r="B39" s="22">
        <f>Sheet2!I31</f>
        <v>1229824.2253521127</v>
      </c>
      <c r="C39" s="22">
        <f>Sheet2!M31</f>
        <v>231000</v>
      </c>
      <c r="D39" s="22">
        <f>Sheet2!Q34</f>
        <v>192500</v>
      </c>
      <c r="E39" s="21">
        <f>SUM(B39:D39)</f>
        <v>1653324.2253521127</v>
      </c>
      <c r="G39" s="19"/>
      <c r="H39" s="19"/>
      <c r="I39" s="19"/>
      <c r="J39" s="19"/>
      <c r="K39" s="19"/>
      <c r="L39" s="19"/>
      <c r="M39" s="19"/>
      <c r="N39" s="19"/>
      <c r="O39" s="19"/>
      <c r="P39" s="6" t="s">
        <v>2</v>
      </c>
      <c r="Q39" s="20">
        <f>-Q34+Q37*(Q21-Q33)</f>
        <v>32725.761098430317</v>
      </c>
      <c r="R39" s="19"/>
    </row>
    <row r="40" spans="2:18" ht="15">
      <c r="B40" s="15"/>
      <c r="C40" s="15"/>
      <c r="D40" s="15"/>
      <c r="E40" s="14"/>
      <c r="G40" s="19"/>
      <c r="H40" s="19"/>
      <c r="I40" s="19"/>
      <c r="J40" s="19"/>
      <c r="K40" s="19"/>
      <c r="L40" s="19"/>
      <c r="M40" s="19"/>
      <c r="N40" s="19"/>
      <c r="O40" s="19"/>
      <c r="P40" s="6" t="s">
        <v>1</v>
      </c>
      <c r="Q40" s="20">
        <f>Q37*Q21</f>
        <v>403421.9996072897</v>
      </c>
      <c r="R40" s="19"/>
    </row>
    <row r="41" spans="1:18" ht="15.75" thickBot="1">
      <c r="A41" s="16" t="s">
        <v>6</v>
      </c>
      <c r="B41" s="15"/>
      <c r="C41" s="15"/>
      <c r="D41" s="15"/>
      <c r="E41" s="14"/>
      <c r="G41" s="19"/>
      <c r="H41" s="19"/>
      <c r="I41" s="19"/>
      <c r="J41" s="19"/>
      <c r="K41" s="19"/>
      <c r="L41" s="19"/>
      <c r="M41" s="19"/>
      <c r="O41" s="19"/>
      <c r="P41" s="3" t="s">
        <v>0</v>
      </c>
      <c r="Q41" s="18">
        <f>Q34+Q37*Q33</f>
        <v>370696.2385088594</v>
      </c>
      <c r="R41" s="17"/>
    </row>
    <row r="42" spans="1:5" ht="15">
      <c r="A42" t="s">
        <v>5</v>
      </c>
      <c r="B42" s="13">
        <v>0.02</v>
      </c>
      <c r="C42" s="13">
        <v>0.02</v>
      </c>
      <c r="D42" s="13">
        <v>0.02</v>
      </c>
      <c r="E42" s="12">
        <v>0.02</v>
      </c>
    </row>
    <row r="43" spans="1:5" ht="15.75" thickBot="1">
      <c r="A43" t="s">
        <v>4</v>
      </c>
      <c r="B43" s="11">
        <f>(1-(1+B42)^-(B34/$D$2))/B42</f>
        <v>17.640002161352886</v>
      </c>
      <c r="C43" s="11">
        <f>(1-(1+C42)^-(C34/$D$2))/C42</f>
        <v>17.640002161352886</v>
      </c>
      <c r="D43" s="11">
        <f>(1-(1+D42)^-(D34/$D$2))/D42</f>
        <v>17.640002161352886</v>
      </c>
      <c r="E43" s="10">
        <f>(1-(1+D42)^-(D34/$D$2))/D42</f>
        <v>17.640002161352886</v>
      </c>
    </row>
    <row r="44" spans="1:5" ht="15">
      <c r="A44" s="9" t="s">
        <v>3</v>
      </c>
      <c r="B44" s="8">
        <f>B39/(B25-B38)</f>
        <v>8.147591061735957</v>
      </c>
      <c r="C44" s="8">
        <f>C39/(C25-C38)</f>
        <v>9.115265591776705</v>
      </c>
      <c r="D44" s="8">
        <f>D39/(D25-D38)</f>
        <v>12.341372305753767</v>
      </c>
      <c r="E44" s="7">
        <f>E39/(E25-E38)</f>
        <v>8.616299091876062</v>
      </c>
    </row>
    <row r="45" spans="1:5" ht="15">
      <c r="A45" s="6" t="s">
        <v>2</v>
      </c>
      <c r="B45" s="5">
        <f>-B39+B43*(B25-B38)</f>
        <v>1432815.7904408714</v>
      </c>
      <c r="C45" s="5">
        <f>-C39+C43*(C25-C38)</f>
        <v>216034.7526624584</v>
      </c>
      <c r="D45" s="5">
        <f>-D39+D43*(D25-D38)</f>
        <v>82647.71712034766</v>
      </c>
      <c r="E45" s="4">
        <f>-E39+E43*(E25-E38)</f>
        <v>1731498.2602236774</v>
      </c>
    </row>
    <row r="46" spans="1:5" ht="15">
      <c r="A46" s="6" t="s">
        <v>1</v>
      </c>
      <c r="B46" s="5">
        <f>B43*B25</f>
        <v>2898261.527911403</v>
      </c>
      <c r="C46" s="5">
        <f>C43*C25</f>
        <v>675308.9267426712</v>
      </c>
      <c r="D46" s="5">
        <f>D43*D25</f>
        <v>492841.6788857514</v>
      </c>
      <c r="E46" s="4">
        <f>E43*E25</f>
        <v>4066412.133539826</v>
      </c>
    </row>
    <row r="47" spans="1:5" ht="15.75" thickBot="1">
      <c r="A47" s="3" t="s">
        <v>0</v>
      </c>
      <c r="B47" s="2">
        <f>B39+B43*B38</f>
        <v>1465445.737470532</v>
      </c>
      <c r="C47" s="2">
        <f>C39+C43*C38</f>
        <v>459274.17408021283</v>
      </c>
      <c r="D47" s="2">
        <f>D39+D43*D38</f>
        <v>410193.96176540374</v>
      </c>
      <c r="E47" s="1">
        <f>E39+E43*E38</f>
        <v>2334913.8733161488</v>
      </c>
    </row>
    <row r="48" spans="1:5" ht="15">
      <c r="A48" s="16" t="s">
        <v>6</v>
      </c>
      <c r="B48" s="15"/>
      <c r="C48" s="15"/>
      <c r="D48" s="15"/>
      <c r="E48" s="14"/>
    </row>
    <row r="49" spans="1:5" ht="15">
      <c r="A49" t="s">
        <v>5</v>
      </c>
      <c r="B49" s="13">
        <v>0.04</v>
      </c>
      <c r="C49" s="13">
        <v>0.04</v>
      </c>
      <c r="D49" s="13">
        <v>0.04</v>
      </c>
      <c r="E49" s="12">
        <v>0.04</v>
      </c>
    </row>
    <row r="50" spans="1:5" ht="15.75" thickBot="1">
      <c r="A50" t="s">
        <v>4</v>
      </c>
      <c r="B50" s="11">
        <f>(1-(1+B49)^-(B34/$D$2))/B49</f>
        <v>14.439454392532374</v>
      </c>
      <c r="C50" s="11">
        <f>(1-(1+C49)^-(C34/$D$2))/C49</f>
        <v>14.439454392532374</v>
      </c>
      <c r="D50" s="11">
        <f>(1-(1+D49)^-(D34/$D$2))/D49</f>
        <v>14.439454392532374</v>
      </c>
      <c r="E50" s="10">
        <f>(1-(1+D49)^-(D34/$D$2))/D49</f>
        <v>14.439454392532374</v>
      </c>
    </row>
    <row r="51" spans="1:5" ht="15">
      <c r="A51" s="9" t="s">
        <v>3</v>
      </c>
      <c r="B51" s="8">
        <f>B39/(B25-B38)</f>
        <v>8.147591061735957</v>
      </c>
      <c r="C51" s="8">
        <f>C39/(C25-C38)</f>
        <v>9.115265591776705</v>
      </c>
      <c r="D51" s="8">
        <f>D39/(D25-D38)</f>
        <v>12.341372305753767</v>
      </c>
      <c r="E51" s="7">
        <f>E39/(E25-E38)</f>
        <v>8.616299091876062</v>
      </c>
    </row>
    <row r="52" spans="1:5" ht="15">
      <c r="A52" s="6" t="s">
        <v>2</v>
      </c>
      <c r="B52" s="5">
        <f>-B39+B50*(B25-B38)</f>
        <v>949714.5706241918</v>
      </c>
      <c r="C52" s="5">
        <f>-C39+C50*(C25-C38)</f>
        <v>134926.1412727345</v>
      </c>
      <c r="D52" s="5">
        <f>-D39+D50*(D25-D38)</f>
        <v>32725.761098430317</v>
      </c>
      <c r="E52" s="4">
        <f>-E39+E50*(E25-E38)</f>
        <v>1117366.4729953562</v>
      </c>
    </row>
    <row r="53" spans="1:5" ht="15">
      <c r="A53" s="6" t="s">
        <v>1</v>
      </c>
      <c r="B53" s="5">
        <f>B50*B25</f>
        <v>2372409.8652093536</v>
      </c>
      <c r="C53" s="5">
        <f>C50*C25</f>
        <v>552782.9508963584</v>
      </c>
      <c r="D53" s="5">
        <f>D50*D25</f>
        <v>403421.9996072897</v>
      </c>
      <c r="E53" s="4">
        <f>E50*E25</f>
        <v>3328614.8157130014</v>
      </c>
    </row>
    <row r="54" spans="1:5" ht="15.75" thickBot="1">
      <c r="A54" s="3" t="s">
        <v>0</v>
      </c>
      <c r="B54" s="2">
        <f>B39+B50*B38</f>
        <v>1422695.294585162</v>
      </c>
      <c r="C54" s="2">
        <f>C39+C50*C38</f>
        <v>417856.8096236238</v>
      </c>
      <c r="D54" s="2">
        <f>D39+D50*D38</f>
        <v>370696.2385088594</v>
      </c>
      <c r="E54" s="1">
        <f>E39+E50*E38</f>
        <v>2211248.342717645</v>
      </c>
    </row>
    <row r="55" spans="1:5" ht="15">
      <c r="A55" s="16" t="s">
        <v>6</v>
      </c>
      <c r="B55" s="15"/>
      <c r="C55" s="15"/>
      <c r="D55" s="15"/>
      <c r="E55" s="14"/>
    </row>
    <row r="56" spans="1:5" ht="15">
      <c r="A56" t="s">
        <v>5</v>
      </c>
      <c r="B56" s="13">
        <v>0.08</v>
      </c>
      <c r="C56" s="13">
        <v>0.08</v>
      </c>
      <c r="D56" s="13">
        <v>0.08</v>
      </c>
      <c r="E56" s="12">
        <v>0.08</v>
      </c>
    </row>
    <row r="57" spans="1:5" ht="15.75" thickBot="1">
      <c r="A57" t="s">
        <v>4</v>
      </c>
      <c r="B57" s="11">
        <f>(1-(1+B56)^-(B34/$D$2))/B56</f>
        <v>10.195753658976694</v>
      </c>
      <c r="C57" s="11">
        <f>(1-(1+C56)^-(C34/$D$2))/C56</f>
        <v>10.195753658976694</v>
      </c>
      <c r="D57" s="11">
        <f>(1-(1+D56)^-(D34/$D$2))/D56</f>
        <v>10.195753658976694</v>
      </c>
      <c r="E57" s="10">
        <f>(1-(1+D56)^-(D34/$D$2))/D56</f>
        <v>10.195753658976694</v>
      </c>
    </row>
    <row r="58" spans="1:5" ht="15">
      <c r="A58" s="9" t="s">
        <v>3</v>
      </c>
      <c r="B58" s="8">
        <f>B39/(B25-B38)</f>
        <v>8.147591061735957</v>
      </c>
      <c r="C58" s="8">
        <f>C39/(C25-C38)</f>
        <v>9.115265591776705</v>
      </c>
      <c r="D58" s="8">
        <f>D39/(D25-D38)</f>
        <v>12.341372305753767</v>
      </c>
      <c r="E58" s="7">
        <f>E39/(E25-E38)</f>
        <v>8.616299091876062</v>
      </c>
    </row>
    <row r="59" spans="1:5" ht="15">
      <c r="A59" s="6" t="s">
        <v>2</v>
      </c>
      <c r="B59" s="5">
        <f>-B39+B57*(B25-B38)</f>
        <v>309156.4071466883</v>
      </c>
      <c r="C59" s="5">
        <f>-C39+C57*(C25-C38)</f>
        <v>27381.83994862053</v>
      </c>
      <c r="D59" s="5">
        <f>-D39+D57*(D25-D38)</f>
        <v>-33467.23356786053</v>
      </c>
      <c r="E59" s="4">
        <f>-E39+E57*(E25-E38)</f>
        <v>303071.01352744806</v>
      </c>
    </row>
    <row r="60" spans="1:5" ht="15">
      <c r="A60" s="6" t="s">
        <v>1</v>
      </c>
      <c r="B60" s="5">
        <f>B57*B25</f>
        <v>1675167.6279617737</v>
      </c>
      <c r="C60" s="5">
        <f>C57*C25</f>
        <v>390322.1438294967</v>
      </c>
      <c r="D60" s="5">
        <f>D57*D25</f>
        <v>284857.80811322964</v>
      </c>
      <c r="E60" s="4">
        <f>E57*E25</f>
        <v>2350347.5799045</v>
      </c>
    </row>
    <row r="61" spans="1:5" ht="15.75" thickBot="1">
      <c r="A61" s="3" t="s">
        <v>0</v>
      </c>
      <c r="B61" s="2">
        <f>B39+B57*B38</f>
        <v>1366011.2208150856</v>
      </c>
      <c r="C61" s="2">
        <f>C39+C57*C38</f>
        <v>362940.30388087616</v>
      </c>
      <c r="D61" s="2">
        <f>D39+D57*D38</f>
        <v>318325.0416810902</v>
      </c>
      <c r="E61" s="1">
        <f>E39+E57*E38</f>
        <v>2047276.5663770519</v>
      </c>
    </row>
  </sheetData>
  <sheetProtection/>
  <mergeCells count="20">
    <mergeCell ref="O23:P23"/>
    <mergeCell ref="H24:H25"/>
    <mergeCell ref="I24:I25"/>
    <mergeCell ref="G7:P7"/>
    <mergeCell ref="A2:C2"/>
    <mergeCell ref="A3:C3"/>
    <mergeCell ref="A4:C4"/>
    <mergeCell ref="A6:E6"/>
    <mergeCell ref="A7:D8"/>
    <mergeCell ref="A9:C10"/>
    <mergeCell ref="G1:K1"/>
    <mergeCell ref="G2:K2"/>
    <mergeCell ref="G3:K3"/>
    <mergeCell ref="G4:L4"/>
    <mergeCell ref="G5:H5"/>
    <mergeCell ref="G33:H33"/>
    <mergeCell ref="K33:L33"/>
    <mergeCell ref="G8:P8"/>
    <mergeCell ref="G18:H18"/>
    <mergeCell ref="K20:L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ccarlson</dc:creator>
  <cp:keywords/>
  <dc:description/>
  <cp:lastModifiedBy>krogers</cp:lastModifiedBy>
  <dcterms:created xsi:type="dcterms:W3CDTF">2012-09-11T21:41:09Z</dcterms:created>
  <dcterms:modified xsi:type="dcterms:W3CDTF">2014-04-07T18:32:41Z</dcterms:modified>
  <cp:category/>
  <cp:version/>
  <cp:contentType/>
  <cp:contentStatus/>
</cp:coreProperties>
</file>